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390" windowHeight="9315" activeTab="0"/>
  </bookViews>
  <sheets>
    <sheet name="Лист2" sheetId="1" r:id="rId1"/>
    <sheet name="Лист1" sheetId="2" r:id="rId2"/>
    <sheet name="Лист3" sheetId="3" r:id="rId3"/>
  </sheets>
  <definedNames>
    <definedName name="_xlnm.Print_Titles" localSheetId="1">'Лист1'!$5:$6</definedName>
    <definedName name="_xlnm.Print_Area" localSheetId="1">'Лист1'!$A$1:$BR$451</definedName>
  </definedNames>
  <calcPr fullCalcOnLoad="1"/>
</workbook>
</file>

<file path=xl/sharedStrings.xml><?xml version="1.0" encoding="utf-8"?>
<sst xmlns="http://schemas.openxmlformats.org/spreadsheetml/2006/main" count="1176" uniqueCount="400">
  <si>
    <t>№ пп</t>
  </si>
  <si>
    <t>Год ввода в эксплуатацию</t>
  </si>
  <si>
    <t>Ед. измерения</t>
  </si>
  <si>
    <t>в том числе по месяцам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</si>
  <si>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</si>
  <si>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</si>
  <si>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</si>
  <si>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</si>
  <si>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</si>
  <si>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</si>
  <si>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</si>
  <si>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</si>
  <si>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</si>
  <si>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</si>
  <si>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</si>
  <si>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</si>
  <si>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 многоквартирного жилого дома, конструктив</t>
  </si>
  <si>
    <t>1.</t>
  </si>
  <si>
    <t>Ремонт стыков</t>
  </si>
  <si>
    <t>1.1.</t>
  </si>
  <si>
    <t>1.2.</t>
  </si>
  <si>
    <t>ул.Пушкина 1</t>
  </si>
  <si>
    <t>ул.Пушкина 3</t>
  </si>
  <si>
    <t>ул.Пушкина 5</t>
  </si>
  <si>
    <t>ул.Пушкина 7</t>
  </si>
  <si>
    <t>ул.Пушкина 14</t>
  </si>
  <si>
    <t>ул.Пушкина 14/1</t>
  </si>
  <si>
    <t>ул.Пушкина 15</t>
  </si>
  <si>
    <t>ул.Пушкина 17</t>
  </si>
  <si>
    <t>ул.Пушкина 18</t>
  </si>
  <si>
    <t>ул.Пушкина 19</t>
  </si>
  <si>
    <t>ул.Пушкина 21</t>
  </si>
  <si>
    <t>ул.Пушкина 23</t>
  </si>
  <si>
    <t>ул.Пушкина 24</t>
  </si>
  <si>
    <t>ул.Пушкина 25</t>
  </si>
  <si>
    <t>ул.Пушкина 25а</t>
  </si>
  <si>
    <t>ул.Пушкина 27</t>
  </si>
  <si>
    <t>ул.Пушкина 29</t>
  </si>
  <si>
    <t>ул.Пушкина 33</t>
  </si>
  <si>
    <t>ул.Островского 18</t>
  </si>
  <si>
    <t>ул.Островского 20</t>
  </si>
  <si>
    <t>ул.Островского 22</t>
  </si>
  <si>
    <t>ул.Островского 24</t>
  </si>
  <si>
    <t>ул.Островского 26</t>
  </si>
  <si>
    <t>ул.Островского 26/1</t>
  </si>
  <si>
    <t>ул.Островского 28</t>
  </si>
  <si>
    <t>ул.Островского 30</t>
  </si>
  <si>
    <t>ул.Островского 30а</t>
  </si>
  <si>
    <t>ул.Островского 32</t>
  </si>
  <si>
    <t>ул.Островского 34</t>
  </si>
  <si>
    <t>ул.Островского 38</t>
  </si>
  <si>
    <t>ул.Островского 40</t>
  </si>
  <si>
    <t>ул.Островского 42</t>
  </si>
  <si>
    <t>ул.Островского 44</t>
  </si>
  <si>
    <t>ул.Островского 46</t>
  </si>
  <si>
    <t>пр.Мира 35</t>
  </si>
  <si>
    <t>пр.Мира 35/1</t>
  </si>
  <si>
    <t>пр.Мира 35/2</t>
  </si>
  <si>
    <t>пр.Мира 35/3</t>
  </si>
  <si>
    <t>пр.Мира 37</t>
  </si>
  <si>
    <t>пр.Мира 37/1</t>
  </si>
  <si>
    <t>пр.Мира 37/2</t>
  </si>
  <si>
    <t>пр.Мира 39</t>
  </si>
  <si>
    <t>ул.Маяковского 45/1</t>
  </si>
  <si>
    <t>ул.Маяковского 47</t>
  </si>
  <si>
    <t>ул.Маяковского 47/1</t>
  </si>
  <si>
    <t>ул.Маяковского 49</t>
  </si>
  <si>
    <t>ул.Маяковского 49/1</t>
  </si>
  <si>
    <t>ул.Профсоюзов 50</t>
  </si>
  <si>
    <t>1.3.</t>
  </si>
  <si>
    <t>1.4.</t>
  </si>
  <si>
    <t>1.5.</t>
  </si>
  <si>
    <t>1.6.</t>
  </si>
  <si>
    <t>1.7.</t>
  </si>
  <si>
    <t>1.8.</t>
  </si>
  <si>
    <t>1.9.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</si>
  <si>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</si>
  <si>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</si>
  <si>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</si>
  <si>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</si>
  <si>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</si>
  <si>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</si>
  <si>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</si>
  <si>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</si>
  <si>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</si>
  <si>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</si>
  <si>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</si>
  <si>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</si>
  <si>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</si>
  <si>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</si>
  <si>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</si>
  <si>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</si>
  <si>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</si>
  <si>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</si>
  <si>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</si>
  <si>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</si>
  <si>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</si>
  <si>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</si>
  <si>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</si>
  <si>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</si>
  <si>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</si>
  <si>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</si>
  <si>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</si>
  <si>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</si>
  <si>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</si>
  <si>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</si>
  <si>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</si>
  <si>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</si>
  <si>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</si>
  <si>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2.</t>
  </si>
  <si>
    <t>Ремонт кровли</t>
  </si>
  <si>
    <t>3.</t>
  </si>
  <si>
    <t>Ремонт надподъездных козырьков(примыкание)</t>
  </si>
  <si>
    <t>Ремонт крылец</t>
  </si>
  <si>
    <t>4.</t>
  </si>
  <si>
    <t>Ремонт квартир</t>
  </si>
  <si>
    <t>5.</t>
  </si>
  <si>
    <t>Ремонт электроснабжения</t>
  </si>
  <si>
    <t>6.</t>
  </si>
  <si>
    <t>Ремонт сантехустройств</t>
  </si>
  <si>
    <t>Ремонт отмостки</t>
  </si>
  <si>
    <t>7.</t>
  </si>
  <si>
    <t>8.</t>
  </si>
  <si>
    <t>Замена мусорклапанов</t>
  </si>
  <si>
    <t>пм</t>
  </si>
  <si>
    <t>Объем</t>
  </si>
  <si>
    <t>9.</t>
  </si>
  <si>
    <t>Ремонт дверей</t>
  </si>
  <si>
    <t>кв. м</t>
  </si>
  <si>
    <t>пр.Мира 37(</t>
  </si>
  <si>
    <t>Вид работ)</t>
  </si>
  <si>
    <t>утепление стыков со стороны подвала)</t>
  </si>
  <si>
    <t>ул.Пушкина 19(кв.67</t>
  </si>
  <si>
    <t>ул.Островского 38(кв.85</t>
  </si>
  <si>
    <t>10.</t>
  </si>
  <si>
    <t>ул.Маяковского 49/1    ( кв. 44,61,22</t>
  </si>
  <si>
    <t>ул.Островского 26( кв. 6,26</t>
  </si>
  <si>
    <t>ул.Островского 42(кв.79</t>
  </si>
  <si>
    <t>установка двери с лестничной клетки в холл</t>
  </si>
  <si>
    <t>шт</t>
  </si>
  <si>
    <t>ИТОГО</t>
  </si>
  <si>
    <t>замена сборок ГХВС</t>
  </si>
  <si>
    <t>Островского 20</t>
  </si>
  <si>
    <t>Островского 26</t>
  </si>
  <si>
    <t>Островского 26/1</t>
  </si>
  <si>
    <t>Пушкина 21</t>
  </si>
  <si>
    <t>Островского 38</t>
  </si>
  <si>
    <t>Замена задвижек</t>
  </si>
  <si>
    <t>Пушкина14</t>
  </si>
  <si>
    <t>Пушкина 14/1</t>
  </si>
  <si>
    <t xml:space="preserve">ИТОГО </t>
  </si>
  <si>
    <t>ИТОГО:</t>
  </si>
  <si>
    <t>Пушкина 14 кв.5</t>
  </si>
  <si>
    <t>установка металлического дверного блока на технический проем под балконом</t>
  </si>
  <si>
    <t>шт/м2</t>
  </si>
  <si>
    <t>1/0,45</t>
  </si>
  <si>
    <t>герметизация стыков со стороны подвала</t>
  </si>
  <si>
    <t>ул.Пушкина 24кв. 8</t>
  </si>
  <si>
    <t>Пушкина 1</t>
  </si>
  <si>
    <t>замена ВРУ</t>
  </si>
  <si>
    <t>замена сети надподъездного освещения</t>
  </si>
  <si>
    <t>1 подъезд</t>
  </si>
  <si>
    <t>устройство продухов</t>
  </si>
  <si>
    <t>Пушкина 29</t>
  </si>
  <si>
    <t>11.</t>
  </si>
  <si>
    <t>Ремонт подъездов</t>
  </si>
  <si>
    <t>Мира 37 , 6 подъезд</t>
  </si>
  <si>
    <t>Маяковского 49</t>
  </si>
  <si>
    <t>Маяковского 49/1</t>
  </si>
  <si>
    <t>Островского 24</t>
  </si>
  <si>
    <t>Маяковского 47</t>
  </si>
  <si>
    <t>Замена РКУ-250 на РКУ-125</t>
  </si>
  <si>
    <t>Маяковского 45/1</t>
  </si>
  <si>
    <t>Маяковского 47/1</t>
  </si>
  <si>
    <t>Замена РКУ-250 на РКУ-126</t>
  </si>
  <si>
    <t>Замена РКУ-250 на РКУ-127</t>
  </si>
  <si>
    <t>Замена РКУ-250 на РКУ-128</t>
  </si>
  <si>
    <t>Замена РКУ-250 на РКУ-129</t>
  </si>
  <si>
    <t>Пушкина 14</t>
  </si>
  <si>
    <t>Пушкина 33</t>
  </si>
  <si>
    <t>Замена РКУ-250 на РКУ-130</t>
  </si>
  <si>
    <t>Замена ламп накаливания на светильники в антивандальном исполнении(внутриподъездное освещение)</t>
  </si>
  <si>
    <t>внутриподъездное освещение</t>
  </si>
  <si>
    <t>Островского 44</t>
  </si>
  <si>
    <t>Островского 42</t>
  </si>
  <si>
    <t>Пушкина 15</t>
  </si>
  <si>
    <t>Пушкина 17</t>
  </si>
  <si>
    <t>Пушкина 19</t>
  </si>
  <si>
    <t>Пушкина 21,</t>
  </si>
  <si>
    <t>Островского 28</t>
  </si>
  <si>
    <t>Островского 46</t>
  </si>
  <si>
    <t>Островского 32</t>
  </si>
  <si>
    <t>Островского 18</t>
  </si>
  <si>
    <t>Островского 34</t>
  </si>
  <si>
    <t>Островского 22</t>
  </si>
  <si>
    <t>м2</t>
  </si>
  <si>
    <t>примыкание 3,4,7 подъезды</t>
  </si>
  <si>
    <t>примыкание 3,4,8 подъезды</t>
  </si>
  <si>
    <t>примыкание1,4,5,6 подъезды</t>
  </si>
  <si>
    <t>примыкание 1,2,3,4,6 подъезды</t>
  </si>
  <si>
    <t>м3</t>
  </si>
  <si>
    <t>примыкание1,2,4,5,6 подъезды</t>
  </si>
  <si>
    <t>примыкание1,4,5,7,8 подъезды</t>
  </si>
  <si>
    <t>примыкание 2,7,8 подъезды</t>
  </si>
  <si>
    <t>3 подъезда</t>
  </si>
  <si>
    <t>примыкание 2,3,4 подъезды</t>
  </si>
  <si>
    <t>примыкание 4,5,6 подъезды</t>
  </si>
  <si>
    <t>примыкание 2,4,5 подъезды</t>
  </si>
  <si>
    <t>примыкание 1 подъезда</t>
  </si>
  <si>
    <t>ул.Пушкина 3 (кв.40,80</t>
  </si>
  <si>
    <t>пр.Мира 31</t>
  </si>
  <si>
    <t>1,3,4,5,6,8 подъездов</t>
  </si>
  <si>
    <t>подъезды 2,3,4</t>
  </si>
  <si>
    <t>5,8 подъездов</t>
  </si>
  <si>
    <t>подъезды1, 2,3,4,5,6</t>
  </si>
  <si>
    <t>1,4,5,7,8подъездов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</si>
  <si>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</si>
  <si>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подъезды 1,2,6</t>
  </si>
  <si>
    <t>подъезды1-6</t>
  </si>
  <si>
    <t>подъезды 6-8</t>
  </si>
  <si>
    <t>подъезды 4,5,7</t>
  </si>
  <si>
    <t>подъезды 5,3</t>
  </si>
  <si>
    <t>подъезды 1,2,7,8</t>
  </si>
  <si>
    <t>подъезды 1-6</t>
  </si>
  <si>
    <t>подъезды 2,4,5,6</t>
  </si>
  <si>
    <t>подъезд 1</t>
  </si>
  <si>
    <t>примыкание3,4 подъезды</t>
  </si>
  <si>
    <t>примыкание4,5,6 подъезды</t>
  </si>
  <si>
    <t>примыкание 2,3,4,5,6,7подъезды</t>
  </si>
  <si>
    <t>примыкание 1,5,6 подъезды</t>
  </si>
  <si>
    <t>План текущего ремонта на 2010 год</t>
  </si>
  <si>
    <t>квартира</t>
  </si>
  <si>
    <t>ул. Пушкина 15 кв.2</t>
  </si>
  <si>
    <t>замена вводных счетчиков учета</t>
  </si>
  <si>
    <t>Пушкина 24,</t>
  </si>
  <si>
    <t>Приобретение контейнеров</t>
  </si>
  <si>
    <t>Жилой фонд ООО "УК Гравитон"</t>
  </si>
  <si>
    <t>ул. Пушкина 5 кв.38</t>
  </si>
  <si>
    <t>ул. Пушкина 5 кв.41</t>
  </si>
  <si>
    <t>пр.Мира 35/1кв.3</t>
  </si>
  <si>
    <t>ул.Маяковского 49 кв.106</t>
  </si>
  <si>
    <t xml:space="preserve">Окраска наружных дверей  жилых домов </t>
  </si>
  <si>
    <t>пр. Мира 35 кв.27</t>
  </si>
  <si>
    <t>ул.Островского 46 кв.40</t>
  </si>
  <si>
    <t>пр.Мира 35/3(кв.39</t>
  </si>
  <si>
    <t>Островского 30</t>
  </si>
  <si>
    <t>Устройство продухов</t>
  </si>
  <si>
    <t>утепление стыка в местах перекрытия и цоколя)</t>
  </si>
  <si>
    <t>2.0.</t>
  </si>
  <si>
    <t>2.1.</t>
  </si>
  <si>
    <t>2.2.</t>
  </si>
  <si>
    <t>2.3.</t>
  </si>
  <si>
    <t>2.4.</t>
  </si>
  <si>
    <t>2.5.</t>
  </si>
  <si>
    <t>12.</t>
  </si>
  <si>
    <t>13.</t>
  </si>
  <si>
    <t>14.</t>
  </si>
  <si>
    <t>Ремонт мусорокамер</t>
  </si>
  <si>
    <t>замена задвижек</t>
  </si>
  <si>
    <t>Пушкина33</t>
  </si>
  <si>
    <t>Пушкина 3</t>
  </si>
  <si>
    <t>замена трубопроводов системы отопления</t>
  </si>
  <si>
    <t xml:space="preserve">Мира 37/1 </t>
  </si>
  <si>
    <t>Пушкина 27</t>
  </si>
  <si>
    <t>Замена сборок ТС</t>
  </si>
  <si>
    <t>замена канализационной системы, устройство приямков</t>
  </si>
  <si>
    <t>ул.Пушкина 14(кв. 9,66,36,63,62,55,5,11</t>
  </si>
  <si>
    <t>подъезд</t>
  </si>
  <si>
    <t>замена сборок ГХВС(кранов)</t>
  </si>
  <si>
    <t>шт(кранов)</t>
  </si>
  <si>
    <t>Замена балконного блока</t>
  </si>
  <si>
    <t>пр.Мира 35(кв. 42,8)</t>
  </si>
  <si>
    <t>№</t>
  </si>
  <si>
    <t>Наименование</t>
  </si>
  <si>
    <t xml:space="preserve"> п/п</t>
  </si>
  <si>
    <t xml:space="preserve"> объекта</t>
  </si>
  <si>
    <t>Итого:</t>
  </si>
  <si>
    <t>обрезка деревьев</t>
  </si>
  <si>
    <t>резерв</t>
  </si>
  <si>
    <t>Объем переход. на 2010</t>
  </si>
  <si>
    <t xml:space="preserve">2009 год переход. на 2010 </t>
  </si>
  <si>
    <r>
      <t xml:space="preserve">ул.Пушкина 1(кв. 48, </t>
    </r>
    <r>
      <rPr>
        <sz val="10"/>
        <color indexed="10"/>
        <rFont val="Arial Cyr"/>
        <family val="0"/>
      </rPr>
      <t>10</t>
    </r>
    <r>
      <rPr>
        <sz val="10"/>
        <rFont val="Arial Cyr"/>
        <family val="0"/>
      </rPr>
      <t>)</t>
    </r>
  </si>
  <si>
    <r>
      <t xml:space="preserve">пр.Мира 37/1(кв. 84,41, </t>
    </r>
    <r>
      <rPr>
        <sz val="10"/>
        <color indexed="10"/>
        <rFont val="Arial Cyr"/>
        <family val="0"/>
      </rPr>
      <t>13</t>
    </r>
  </si>
  <si>
    <t>1.36.</t>
  </si>
  <si>
    <r>
      <t xml:space="preserve">ул.Островского 22 (кв. </t>
    </r>
    <r>
      <rPr>
        <sz val="10"/>
        <color indexed="10"/>
        <rFont val="Arial Cyr"/>
        <family val="0"/>
      </rPr>
      <t>84</t>
    </r>
    <r>
      <rPr>
        <sz val="10"/>
        <rFont val="Arial Cyr"/>
        <family val="0"/>
      </rPr>
      <t>)</t>
    </r>
  </si>
  <si>
    <r>
      <t xml:space="preserve">ул.Островского 26/1(кв.15, </t>
    </r>
    <r>
      <rPr>
        <sz val="10"/>
        <color indexed="10"/>
        <rFont val="Arial Cyr"/>
        <family val="0"/>
      </rPr>
      <t>100</t>
    </r>
  </si>
  <si>
    <r>
      <t xml:space="preserve">ул.Островского 40(кв.14, </t>
    </r>
    <r>
      <rPr>
        <sz val="10"/>
        <color indexed="10"/>
        <rFont val="Arial Cyr"/>
        <family val="0"/>
      </rPr>
      <t>89</t>
    </r>
  </si>
  <si>
    <r>
      <t xml:space="preserve">ул.Пушкина 21 (кв. </t>
    </r>
    <r>
      <rPr>
        <sz val="10"/>
        <color indexed="10"/>
        <rFont val="Arial Cyr"/>
        <family val="0"/>
      </rPr>
      <t>27</t>
    </r>
    <r>
      <rPr>
        <sz val="10"/>
        <rFont val="Arial Cyr"/>
        <family val="0"/>
      </rPr>
      <t>)</t>
    </r>
  </si>
  <si>
    <r>
      <t xml:space="preserve">ул.Пушкина 23(кв.110, </t>
    </r>
    <r>
      <rPr>
        <sz val="10"/>
        <color indexed="10"/>
        <rFont val="Arial Cyr"/>
        <family val="0"/>
      </rPr>
      <t>периметр 5-го этажа</t>
    </r>
  </si>
  <si>
    <r>
      <t>ул.Островского 44 (</t>
    </r>
    <r>
      <rPr>
        <sz val="10"/>
        <color indexed="10"/>
        <rFont val="Arial Cyr"/>
        <family val="0"/>
      </rPr>
      <t>периметр 5-го этажа</t>
    </r>
    <r>
      <rPr>
        <sz val="10"/>
        <rFont val="Arial Cyr"/>
        <family val="0"/>
      </rPr>
      <t>)</t>
    </r>
  </si>
  <si>
    <r>
      <t xml:space="preserve">ул.Островского 46 (кв. </t>
    </r>
    <r>
      <rPr>
        <sz val="10"/>
        <color indexed="10"/>
        <rFont val="Arial Cyr"/>
        <family val="0"/>
      </rPr>
      <t>31, периметр 5-го этажа</t>
    </r>
    <r>
      <rPr>
        <sz val="10"/>
        <rFont val="Arial Cyr"/>
        <family val="0"/>
      </rPr>
      <t>)</t>
    </r>
  </si>
  <si>
    <t>Профсоюзов 50</t>
  </si>
  <si>
    <t>ул.Островского 28(кв.62,70, 54</t>
  </si>
  <si>
    <t>ул.Маяковского 49 (кв. 15,14,29,37,19</t>
  </si>
  <si>
    <t>ул.Маяковского 45/1(кв.505,101</t>
  </si>
  <si>
    <r>
      <t xml:space="preserve">ул.Островского 20 (кв. </t>
    </r>
    <r>
      <rPr>
        <sz val="10"/>
        <color indexed="10"/>
        <rFont val="Arial Cyr"/>
        <family val="0"/>
      </rPr>
      <t>61, 85, 17,</t>
    </r>
    <r>
      <rPr>
        <sz val="10"/>
        <rFont val="Arial Cyr"/>
        <family val="0"/>
      </rPr>
      <t xml:space="preserve"> 61</t>
    </r>
    <r>
      <rPr>
        <sz val="10"/>
        <rFont val="Arial Cyr"/>
        <family val="0"/>
      </rPr>
      <t>)</t>
    </r>
  </si>
  <si>
    <t>ул.Пушкина 7 (кв. 41,15)</t>
  </si>
  <si>
    <r>
      <t xml:space="preserve">ул.Пушкина 17(кв.4, </t>
    </r>
    <r>
      <rPr>
        <sz val="10"/>
        <color indexed="10"/>
        <rFont val="Arial Cyr"/>
        <family val="0"/>
      </rPr>
      <t>4,</t>
    </r>
    <r>
      <rPr>
        <sz val="10"/>
        <rFont val="Arial Cyr"/>
        <family val="0"/>
      </rPr>
      <t>13,7</t>
    </r>
  </si>
  <si>
    <r>
      <t>ул.Пушкина 33, (кв.64,</t>
    </r>
    <r>
      <rPr>
        <sz val="10"/>
        <color indexed="10"/>
        <rFont val="Arial Cyr"/>
        <family val="0"/>
      </rPr>
      <t>109</t>
    </r>
    <r>
      <rPr>
        <sz val="10"/>
        <rFont val="Arial Cyr"/>
        <family val="0"/>
      </rPr>
      <t>,67</t>
    </r>
  </si>
  <si>
    <t>ул.Островского 30а (кв. 60)</t>
  </si>
  <si>
    <r>
      <t xml:space="preserve">ул.Пушкина 24( кв. 85, 32,100,38,108,69,96,66,104,111,66,43,8,101, </t>
    </r>
    <r>
      <rPr>
        <sz val="10"/>
        <color indexed="10"/>
        <rFont val="Arial Cyr"/>
        <family val="0"/>
      </rPr>
      <t>96</t>
    </r>
  </si>
  <si>
    <r>
      <t>ул.Маяковского 47/1(кв.6,43,35,11,103,38,34,21,49,80,25,</t>
    </r>
    <r>
      <rPr>
        <sz val="10"/>
        <color indexed="10"/>
        <rFont val="Arial Cyr"/>
        <family val="0"/>
      </rPr>
      <t>23</t>
    </r>
  </si>
  <si>
    <r>
      <t>Пушкина 14/1 кв.2,</t>
    </r>
    <r>
      <rPr>
        <sz val="10"/>
        <color indexed="10"/>
        <rFont val="Arial Cyr"/>
        <family val="0"/>
      </rPr>
      <t>51</t>
    </r>
  </si>
  <si>
    <t>Утверждаю:</t>
  </si>
  <si>
    <t>Директор ООО "УК Гравитон"</t>
  </si>
  <si>
    <t>Всего план на 2010-2012год</t>
  </si>
  <si>
    <t>__________________ Бурый И.Б.</t>
  </si>
  <si>
    <t>План на 2010г.</t>
  </si>
  <si>
    <t>План на 2010 -2012год</t>
  </si>
  <si>
    <t>ул.Пушкина 3кв.60</t>
  </si>
  <si>
    <t>ул.Мира 35/1 кв.97</t>
  </si>
  <si>
    <t>замена вводных счетчиков учета(на двухтарифные)</t>
  </si>
  <si>
    <t xml:space="preserve">Пушкина 14/1 </t>
  </si>
  <si>
    <t>Мира 35(после пожара)</t>
  </si>
  <si>
    <t>Пушкина 14/1(после пожара с 5-го 9 этаж)</t>
  </si>
  <si>
    <t>Пушкина 14/1(ремонт пол в холлах)</t>
  </si>
  <si>
    <t>холл</t>
  </si>
  <si>
    <t>по видам работ</t>
  </si>
  <si>
    <t>всего план 2010-2012</t>
  </si>
  <si>
    <t>план на 2010г.</t>
  </si>
  <si>
    <t xml:space="preserve">Ремонт подъездного козырька </t>
  </si>
  <si>
    <t>план перех.</t>
  </si>
  <si>
    <t>Ремонт подъездного крылец</t>
  </si>
  <si>
    <t>Замена мусороклапанов</t>
  </si>
  <si>
    <t>Ремонт внутридомовых инженерных систем(сантехника)</t>
  </si>
  <si>
    <t>Ремонт внутридомовых инженерных систем-электрооборудования</t>
  </si>
  <si>
    <t>Ремонт  МОП</t>
  </si>
  <si>
    <t>устройство ограждения вдоль зеленой зоны</t>
  </si>
  <si>
    <t>покос травы</t>
  </si>
  <si>
    <t>приобретение контейнеров</t>
  </si>
  <si>
    <t>установка оконного блока</t>
  </si>
  <si>
    <t>установка дверного блока</t>
  </si>
  <si>
    <t>ул.Островского 24 (кв. 13)кв.55,33(Т-шов)</t>
  </si>
  <si>
    <t>Покос травы</t>
  </si>
  <si>
    <t>Т-шов</t>
  </si>
  <si>
    <t>балконный козырек-5м2  кровля-9м2</t>
  </si>
  <si>
    <t>замена зажвижек д-80</t>
  </si>
  <si>
    <t>замена сопла</t>
  </si>
  <si>
    <t>замена канализации</t>
  </si>
  <si>
    <t>м.п.</t>
  </si>
  <si>
    <t>Отклонение плана от факта  за 2009г.</t>
  </si>
  <si>
    <t>Планируемые затраты по текущему ремонту на 2010г</t>
  </si>
  <si>
    <t>Планируемый доход от колясочных,лифтовок</t>
  </si>
  <si>
    <t>Планируемый доход от " 0"помещений</t>
  </si>
  <si>
    <t>Планируемый доход от  аренды помещений</t>
  </si>
  <si>
    <t>Планируемая сумма затрат на текущий ремонт 2010г.</t>
  </si>
  <si>
    <t>ул.Профсоюзов 50(кв.88,45,73)</t>
  </si>
  <si>
    <t>в том числе Переходящее выполнение с 2009года на 2010г</t>
  </si>
  <si>
    <t>Резерв</t>
  </si>
  <si>
    <t>установить сливы на балконном козырьке кв.102</t>
  </si>
  <si>
    <r>
      <t xml:space="preserve">ул.Пушкина 5(кв.119,5, </t>
    </r>
    <r>
      <rPr>
        <sz val="10"/>
        <color indexed="10"/>
        <rFont val="Arial Cyr"/>
        <family val="0"/>
      </rPr>
      <t>57</t>
    </r>
  </si>
  <si>
    <t>балконный козырек кв.101</t>
  </si>
  <si>
    <t>пр.Мира 37кв.39</t>
  </si>
  <si>
    <t>шт.</t>
  </si>
  <si>
    <t>Мира 37/2 6п-д</t>
  </si>
  <si>
    <t>По всему ж/фонду</t>
  </si>
  <si>
    <t>1+6м2</t>
  </si>
  <si>
    <t>кв.19</t>
  </si>
  <si>
    <t>Т-шов,К-стояк</t>
  </si>
  <si>
    <t xml:space="preserve">Маяковского 45/1 </t>
  </si>
  <si>
    <t>кв.29,66,97</t>
  </si>
  <si>
    <t>нарастить К-стояк -6шт.</t>
  </si>
  <si>
    <t>кв.60,13</t>
  </si>
  <si>
    <t>кв.41</t>
  </si>
  <si>
    <t>кв.60,15</t>
  </si>
  <si>
    <t>кв.56</t>
  </si>
  <si>
    <t>изготовление 2 зонтов</t>
  </si>
  <si>
    <t>кв.60</t>
  </si>
  <si>
    <t>К-стояк</t>
  </si>
  <si>
    <t>Т-шов,41,15,28,73</t>
  </si>
  <si>
    <t>кв.13,45,60,47</t>
  </si>
  <si>
    <t>ул.Островского 22 (кв. 41,96</t>
  </si>
  <si>
    <t>кв.14,58</t>
  </si>
  <si>
    <t>Т-шов,60,57</t>
  </si>
  <si>
    <t>кв.40 примыкание балкона</t>
  </si>
  <si>
    <t>кв.75</t>
  </si>
  <si>
    <t>кв.99</t>
  </si>
  <si>
    <t>кв.93,103</t>
  </si>
  <si>
    <t>кв.100,97</t>
  </si>
  <si>
    <t>кв.95,98</t>
  </si>
  <si>
    <t>кв.43</t>
  </si>
  <si>
    <r>
      <t>пр.Мира 35/2 кв.</t>
    </r>
    <r>
      <rPr>
        <sz val="10"/>
        <color indexed="15"/>
        <rFont val="Arial Cyr"/>
        <family val="0"/>
      </rPr>
      <t>27</t>
    </r>
  </si>
  <si>
    <r>
      <t>ул.Пушкина 15кв</t>
    </r>
    <r>
      <rPr>
        <sz val="10"/>
        <color indexed="15"/>
        <rFont val="Arial Cyr"/>
        <family val="0"/>
      </rPr>
      <t>.2</t>
    </r>
  </si>
  <si>
    <r>
      <t>пр. Мира 35/1 кв.</t>
    </r>
    <r>
      <rPr>
        <sz val="10"/>
        <color indexed="10"/>
        <rFont val="Arial Cyr"/>
        <family val="0"/>
      </rPr>
      <t>104,</t>
    </r>
    <r>
      <rPr>
        <sz val="10"/>
        <color indexed="15"/>
        <rFont val="Arial Cyr"/>
        <family val="0"/>
      </rPr>
      <t>1,97</t>
    </r>
  </si>
  <si>
    <t>ул.Пушкина 25а(кв.37,66,86</t>
  </si>
  <si>
    <t>кв.39</t>
  </si>
  <si>
    <t>Мира 35</t>
  </si>
  <si>
    <t>установка кранов</t>
  </si>
  <si>
    <t>Островского 40</t>
  </si>
  <si>
    <t>Мира 31</t>
  </si>
  <si>
    <t xml:space="preserve">с участием населения </t>
  </si>
  <si>
    <t>Итого</t>
  </si>
  <si>
    <t xml:space="preserve">Всего </t>
  </si>
  <si>
    <t>Участие населения по гпротоколу</t>
  </si>
  <si>
    <t>Уст-во ограждения</t>
  </si>
  <si>
    <t>Составил_______________________ Мох О.Н.</t>
  </si>
  <si>
    <t>Маяковского 49/1 (кв.106,37,67</t>
  </si>
  <si>
    <t>ул.Маяковского 47(кв.30,24,58</t>
  </si>
  <si>
    <r>
      <t>ул.Пушкина 14/1(кв. 56,63,87,23,86,68,13,</t>
    </r>
    <r>
      <rPr>
        <sz val="10"/>
        <color indexed="15"/>
        <rFont val="Arial Cyr"/>
        <family val="0"/>
      </rPr>
      <t>97,30</t>
    </r>
  </si>
  <si>
    <t>План по текущему ремонту общего имущества за счет средств поступающих от населения ( по статье содержание общего имущества) на 2010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</si>
</sst>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0.0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sz val="10"/>
      <color indexed="15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2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3" fontId="0" fillId="0" borderId="13" xfId="0" applyNumberForma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0" xfId="0" applyNumberFormat="1" applyBorder="1" applyAlignment="1">
      <alignment wrapText="1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4" xfId="0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Border="1" applyAlignment="1">
      <alignment horizontal="center" wrapText="1"/>
    </xf>
    <xf numFmtId="3" fontId="4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0" fontId="0" fillId="33" borderId="18" xfId="0" applyFill="1" applyBorder="1" applyAlignment="1">
      <alignment/>
    </xf>
    <xf numFmtId="0" fontId="1" fillId="0" borderId="18" xfId="0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33" borderId="19" xfId="0" applyFill="1" applyBorder="1" applyAlignment="1">
      <alignment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0" fillId="33" borderId="18" xfId="0" applyNumberFormat="1" applyFill="1" applyBorder="1" applyAlignment="1">
      <alignment horizontal="right"/>
    </xf>
    <xf numFmtId="0" fontId="0" fillId="34" borderId="18" xfId="0" applyFill="1" applyBorder="1" applyAlignment="1">
      <alignment/>
    </xf>
    <xf numFmtId="0" fontId="0" fillId="34" borderId="17" xfId="0" applyFill="1" applyBorder="1" applyAlignment="1">
      <alignment horizontal="center"/>
    </xf>
    <xf numFmtId="1" fontId="0" fillId="34" borderId="18" xfId="0" applyNumberFormat="1" applyFill="1" applyBorder="1" applyAlignment="1">
      <alignment/>
    </xf>
    <xf numFmtId="3" fontId="0" fillId="34" borderId="18" xfId="0" applyNumberFormat="1" applyFill="1" applyBorder="1" applyAlignment="1">
      <alignment horizontal="right"/>
    </xf>
    <xf numFmtId="0" fontId="0" fillId="35" borderId="18" xfId="0" applyFill="1" applyBorder="1" applyAlignment="1">
      <alignment/>
    </xf>
    <xf numFmtId="3" fontId="0" fillId="35" borderId="18" xfId="0" applyNumberFormat="1" applyFill="1" applyBorder="1" applyAlignment="1">
      <alignment horizontal="right"/>
    </xf>
    <xf numFmtId="0" fontId="0" fillId="35" borderId="1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3" fontId="1" fillId="0" borderId="13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0" fontId="0" fillId="36" borderId="18" xfId="0" applyFill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7" borderId="0" xfId="0" applyFill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U57"/>
  <sheetViews>
    <sheetView tabSelected="1" zoomScalePageLayoutView="0" workbookViewId="0" topLeftCell="A1">
      <pane xSplit="3" ySplit="12" topLeftCell="D13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E6" sqref="E6"/>
    </sheetView>
  </sheetViews>
  <sheetFormatPr defaultColWidth="9.00390625" defaultRowHeight="12.75"/>
  <cols>
    <col min="1" max="1" width="5.75390625" style="0" customWidth="1"/>
    <col min="2" max="2" width="21.875" style="0" customWidth="1"/>
    <col min="3" max="4" width="10.375" style="0" customWidth="1"/>
    <col min="6" max="7" width="10.375" style="0" customWidth="1"/>
    <col min="9" max="9" width="11.375" style="0" customWidth="1"/>
    <col min="11" max="11" width="10.125" style="0" customWidth="1"/>
    <col min="15" max="15" width="11.125" style="0" customWidth="1"/>
    <col min="18" max="18" width="11.125" style="0" customWidth="1"/>
    <col min="20" max="20" width="10.25390625" style="0" customWidth="1"/>
    <col min="21" max="22" width="10.375" style="0" customWidth="1"/>
    <col min="23" max="28" width="9.875" style="0" customWidth="1"/>
    <col min="29" max="31" width="9.25390625" style="0" customWidth="1"/>
    <col min="32" max="32" width="8.875" style="0" customWidth="1"/>
    <col min="33" max="33" width="12.875" style="0" customWidth="1"/>
    <col min="35" max="39" width="9.375" style="0" customWidth="1"/>
    <col min="40" max="40" width="7.625" style="0" customWidth="1"/>
    <col min="41" max="41" width="8.125" style="0" customWidth="1"/>
    <col min="43" max="44" width="8.125" style="0" customWidth="1"/>
    <col min="45" max="45" width="9.375" style="0" customWidth="1"/>
    <col min="46" max="46" width="7.25390625" style="0" customWidth="1"/>
    <col min="47" max="47" width="14.625" style="0" customWidth="1"/>
    <col min="48" max="49" width="9.375" style="0" hidden="1" customWidth="1"/>
    <col min="50" max="50" width="8.25390625" style="0" hidden="1" customWidth="1"/>
    <col min="51" max="51" width="9.875" style="0" hidden="1" customWidth="1"/>
    <col min="52" max="52" width="11.125" style="0" hidden="1" customWidth="1"/>
    <col min="53" max="53" width="8.125" style="0" hidden="1" customWidth="1"/>
    <col min="54" max="57" width="8.125" style="0" customWidth="1"/>
    <col min="58" max="58" width="10.25390625" style="0" customWidth="1"/>
    <col min="59" max="59" width="11.75390625" style="0" customWidth="1"/>
    <col min="60" max="60" width="11.875" style="0" customWidth="1"/>
    <col min="61" max="61" width="10.75390625" style="0" customWidth="1"/>
    <col min="62" max="63" width="12.125" style="0" customWidth="1"/>
    <col min="64" max="65" width="11.875" style="0" customWidth="1"/>
    <col min="66" max="66" width="14.00390625" style="0" customWidth="1"/>
  </cols>
  <sheetData>
    <row r="2" ht="13.5" thickBot="1">
      <c r="B2" t="s">
        <v>399</v>
      </c>
    </row>
    <row r="3" spans="1:65" ht="13.5" customHeight="1" thickBot="1">
      <c r="A3" s="36" t="s">
        <v>272</v>
      </c>
      <c r="B3" s="36" t="s">
        <v>273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 t="s">
        <v>317</v>
      </c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4"/>
      <c r="BE3" s="90" t="s">
        <v>348</v>
      </c>
      <c r="BF3" s="80" t="s">
        <v>340</v>
      </c>
      <c r="BG3" s="80" t="s">
        <v>341</v>
      </c>
      <c r="BH3" s="80" t="s">
        <v>342</v>
      </c>
      <c r="BI3" s="80" t="s">
        <v>343</v>
      </c>
      <c r="BJ3" s="80" t="s">
        <v>344</v>
      </c>
      <c r="BK3" s="70"/>
      <c r="BL3" s="80" t="s">
        <v>345</v>
      </c>
      <c r="BM3" s="80" t="s">
        <v>347</v>
      </c>
    </row>
    <row r="4" spans="1:65" ht="35.25" customHeight="1" thickBot="1">
      <c r="A4" s="33" t="s">
        <v>274</v>
      </c>
      <c r="B4" s="33" t="s">
        <v>275</v>
      </c>
      <c r="C4" s="83" t="s">
        <v>18</v>
      </c>
      <c r="D4" s="83"/>
      <c r="E4" s="84"/>
      <c r="F4" s="83" t="s">
        <v>110</v>
      </c>
      <c r="G4" s="87"/>
      <c r="H4" s="84"/>
      <c r="I4" s="83" t="s">
        <v>320</v>
      </c>
      <c r="J4" s="87"/>
      <c r="K4" s="84"/>
      <c r="L4" s="83" t="s">
        <v>322</v>
      </c>
      <c r="M4" s="87"/>
      <c r="N4" s="84"/>
      <c r="O4" s="83" t="s">
        <v>115</v>
      </c>
      <c r="P4" s="87"/>
      <c r="Q4" s="84"/>
      <c r="R4" s="83" t="s">
        <v>323</v>
      </c>
      <c r="S4" s="87"/>
      <c r="T4" s="84"/>
      <c r="U4" s="83" t="s">
        <v>324</v>
      </c>
      <c r="V4" s="87"/>
      <c r="W4" s="84"/>
      <c r="X4" s="83" t="s">
        <v>325</v>
      </c>
      <c r="Y4" s="87"/>
      <c r="Z4" s="84"/>
      <c r="AA4" s="83" t="s">
        <v>326</v>
      </c>
      <c r="AB4" s="87"/>
      <c r="AC4" s="84"/>
      <c r="AD4" s="83" t="s">
        <v>120</v>
      </c>
      <c r="AE4" s="87"/>
      <c r="AF4" s="84"/>
      <c r="AG4" s="83" t="s">
        <v>327</v>
      </c>
      <c r="AH4" s="87"/>
      <c r="AI4" s="84"/>
      <c r="AJ4" s="83" t="s">
        <v>277</v>
      </c>
      <c r="AK4" s="87"/>
      <c r="AL4" s="84"/>
      <c r="AM4" s="83" t="s">
        <v>328</v>
      </c>
      <c r="AN4" s="87"/>
      <c r="AO4" s="84"/>
      <c r="AP4" s="83" t="s">
        <v>329</v>
      </c>
      <c r="AQ4" s="87"/>
      <c r="AR4" s="84"/>
      <c r="AS4" s="83" t="s">
        <v>331</v>
      </c>
      <c r="AT4" s="87"/>
      <c r="AU4" s="84"/>
      <c r="AV4" s="83" t="s">
        <v>330</v>
      </c>
      <c r="AW4" s="87"/>
      <c r="AX4" s="84"/>
      <c r="AY4" s="83" t="s">
        <v>278</v>
      </c>
      <c r="AZ4" s="87"/>
      <c r="BA4" s="84"/>
      <c r="BB4" s="83" t="s">
        <v>246</v>
      </c>
      <c r="BC4" s="87"/>
      <c r="BD4" s="84"/>
      <c r="BE4" s="91"/>
      <c r="BF4" s="88"/>
      <c r="BG4" s="81"/>
      <c r="BH4" s="81"/>
      <c r="BI4" s="81"/>
      <c r="BJ4" s="81"/>
      <c r="BK4" s="71" t="s">
        <v>393</v>
      </c>
      <c r="BL4" s="81"/>
      <c r="BM4" s="85"/>
    </row>
    <row r="5" spans="1:65" ht="47.25" customHeight="1" thickBot="1">
      <c r="A5" s="34"/>
      <c r="B5" s="34"/>
      <c r="C5" s="41" t="s">
        <v>318</v>
      </c>
      <c r="D5" s="41" t="s">
        <v>319</v>
      </c>
      <c r="E5" s="41" t="s">
        <v>321</v>
      </c>
      <c r="F5" s="41" t="s">
        <v>318</v>
      </c>
      <c r="G5" s="41" t="s">
        <v>319</v>
      </c>
      <c r="H5" s="41" t="s">
        <v>321</v>
      </c>
      <c r="I5" s="41" t="s">
        <v>318</v>
      </c>
      <c r="J5" s="41" t="s">
        <v>319</v>
      </c>
      <c r="K5" s="41" t="s">
        <v>321</v>
      </c>
      <c r="L5" s="41" t="s">
        <v>318</v>
      </c>
      <c r="M5" s="41" t="s">
        <v>319</v>
      </c>
      <c r="N5" s="41" t="s">
        <v>321</v>
      </c>
      <c r="O5" s="41" t="s">
        <v>318</v>
      </c>
      <c r="P5" s="41" t="s">
        <v>319</v>
      </c>
      <c r="Q5" s="41" t="s">
        <v>321</v>
      </c>
      <c r="R5" s="41" t="s">
        <v>318</v>
      </c>
      <c r="S5" s="41" t="s">
        <v>319</v>
      </c>
      <c r="T5" s="41" t="s">
        <v>321</v>
      </c>
      <c r="U5" s="41" t="s">
        <v>318</v>
      </c>
      <c r="V5" s="41" t="s">
        <v>319</v>
      </c>
      <c r="W5" s="41" t="s">
        <v>321</v>
      </c>
      <c r="X5" s="41" t="s">
        <v>318</v>
      </c>
      <c r="Y5" s="41" t="s">
        <v>319</v>
      </c>
      <c r="Z5" s="41" t="s">
        <v>321</v>
      </c>
      <c r="AA5" s="41" t="s">
        <v>318</v>
      </c>
      <c r="AB5" s="41" t="s">
        <v>319</v>
      </c>
      <c r="AC5" s="41" t="s">
        <v>321</v>
      </c>
      <c r="AD5" s="41" t="s">
        <v>318</v>
      </c>
      <c r="AE5" s="41" t="s">
        <v>319</v>
      </c>
      <c r="AF5" s="41" t="s">
        <v>321</v>
      </c>
      <c r="AG5" s="41" t="s">
        <v>318</v>
      </c>
      <c r="AH5" s="41" t="s">
        <v>319</v>
      </c>
      <c r="AI5" s="41" t="s">
        <v>321</v>
      </c>
      <c r="AJ5" s="41" t="s">
        <v>318</v>
      </c>
      <c r="AK5" s="41" t="s">
        <v>319</v>
      </c>
      <c r="AL5" s="41" t="s">
        <v>321</v>
      </c>
      <c r="AM5" s="41" t="s">
        <v>318</v>
      </c>
      <c r="AN5" s="41" t="s">
        <v>319</v>
      </c>
      <c r="AO5" s="41" t="s">
        <v>321</v>
      </c>
      <c r="AP5" s="41" t="s">
        <v>318</v>
      </c>
      <c r="AQ5" s="41" t="s">
        <v>319</v>
      </c>
      <c r="AR5" s="41" t="s">
        <v>321</v>
      </c>
      <c r="AS5" s="41" t="s">
        <v>318</v>
      </c>
      <c r="AT5" s="41" t="s">
        <v>319</v>
      </c>
      <c r="AU5" s="41" t="s">
        <v>321</v>
      </c>
      <c r="AV5" s="41" t="s">
        <v>318</v>
      </c>
      <c r="AW5" s="41" t="s">
        <v>319</v>
      </c>
      <c r="AX5" s="41" t="s">
        <v>321</v>
      </c>
      <c r="AY5" s="41" t="s">
        <v>318</v>
      </c>
      <c r="AZ5" s="41" t="s">
        <v>319</v>
      </c>
      <c r="BA5" s="41" t="s">
        <v>321</v>
      </c>
      <c r="BB5" s="41" t="s">
        <v>318</v>
      </c>
      <c r="BC5" s="41" t="s">
        <v>319</v>
      </c>
      <c r="BD5" s="41" t="s">
        <v>321</v>
      </c>
      <c r="BE5" s="92"/>
      <c r="BF5" s="89"/>
      <c r="BG5" s="82"/>
      <c r="BH5" s="82"/>
      <c r="BI5" s="82"/>
      <c r="BJ5" s="82"/>
      <c r="BK5" s="72"/>
      <c r="BL5" s="82"/>
      <c r="BM5" s="86"/>
    </row>
    <row r="6" spans="1:65" ht="13.5" thickBot="1">
      <c r="A6" s="35">
        <v>1</v>
      </c>
      <c r="B6" s="51" t="s">
        <v>21</v>
      </c>
      <c r="C6" s="39">
        <f>4890</f>
        <v>4890</v>
      </c>
      <c r="D6" s="39"/>
      <c r="E6" s="39">
        <f aca="true" t="shared" si="0" ref="E6:E37">C6-D6</f>
        <v>4890</v>
      </c>
      <c r="F6" s="39"/>
      <c r="G6" s="39"/>
      <c r="H6" s="39">
        <f>F6-G6</f>
        <v>0</v>
      </c>
      <c r="I6" s="39">
        <v>20007</v>
      </c>
      <c r="J6" s="39"/>
      <c r="K6" s="39">
        <f>I6-J6</f>
        <v>20007</v>
      </c>
      <c r="L6" s="39">
        <v>50190</v>
      </c>
      <c r="M6" s="39"/>
      <c r="N6" s="39">
        <f>L6-M6</f>
        <v>50190</v>
      </c>
      <c r="O6" s="39"/>
      <c r="P6" s="39"/>
      <c r="Q6" s="39">
        <f>O6-P6</f>
        <v>0</v>
      </c>
      <c r="R6" s="39"/>
      <c r="S6" s="39"/>
      <c r="T6" s="39">
        <f>R6-S6</f>
        <v>0</v>
      </c>
      <c r="U6" s="39">
        <v>17149</v>
      </c>
      <c r="V6" s="39"/>
      <c r="W6" s="39">
        <f>U6-V6</f>
        <v>17149</v>
      </c>
      <c r="X6" s="39">
        <v>45396</v>
      </c>
      <c r="Y6" s="39"/>
      <c r="Z6" s="39">
        <f>X6-Y6</f>
        <v>45396</v>
      </c>
      <c r="AA6" s="39"/>
      <c r="AB6" s="39"/>
      <c r="AC6" s="39">
        <f>AA6-AB6</f>
        <v>0</v>
      </c>
      <c r="AD6" s="39"/>
      <c r="AE6" s="39"/>
      <c r="AF6" s="39">
        <f>AD6-AE6</f>
        <v>0</v>
      </c>
      <c r="AG6" s="39"/>
      <c r="AH6" s="39"/>
      <c r="AI6" s="39">
        <f>AG6-AH6</f>
        <v>0</v>
      </c>
      <c r="AJ6" s="39"/>
      <c r="AK6" s="39"/>
      <c r="AL6" s="39">
        <f>AJ6-AK6</f>
        <v>0</v>
      </c>
      <c r="AM6" s="39">
        <v>20091</v>
      </c>
      <c r="AN6" s="39">
        <v>6697</v>
      </c>
      <c r="AO6" s="39">
        <f>AM6-AN6</f>
        <v>13394</v>
      </c>
      <c r="AP6" s="39"/>
      <c r="AQ6" s="39"/>
      <c r="AR6" s="39">
        <f>AP6-AQ6</f>
        <v>0</v>
      </c>
      <c r="AS6" s="39"/>
      <c r="AT6" s="39"/>
      <c r="AU6" s="39">
        <f>AS6-AT6</f>
        <v>0</v>
      </c>
      <c r="AV6" s="39"/>
      <c r="AW6" s="39"/>
      <c r="AX6" s="39">
        <f>AV6-AW6</f>
        <v>0</v>
      </c>
      <c r="AY6" s="39"/>
      <c r="AZ6" s="39"/>
      <c r="BA6" s="40">
        <f aca="true" t="shared" si="1" ref="BA6:BA11">AY6-AZ6</f>
        <v>0</v>
      </c>
      <c r="BB6" s="40"/>
      <c r="BC6" s="40"/>
      <c r="BD6" s="40"/>
      <c r="BE6" s="40"/>
      <c r="BF6" s="55">
        <v>59235</v>
      </c>
      <c r="BG6" s="40">
        <v>90671.36</v>
      </c>
      <c r="BH6" s="40"/>
      <c r="BI6" s="40"/>
      <c r="BJ6" s="40"/>
      <c r="BK6" s="40"/>
      <c r="BL6" s="40">
        <f aca="true" t="shared" si="2" ref="BL6:BL53">(BF6+BG6+BH6+BI6+BJ6)</f>
        <v>149906.36</v>
      </c>
      <c r="BM6" s="40"/>
    </row>
    <row r="7" spans="1:65" ht="13.5" thickBot="1">
      <c r="A7" s="36">
        <v>2</v>
      </c>
      <c r="B7" s="39" t="s">
        <v>22</v>
      </c>
      <c r="C7" s="39">
        <v>7140</v>
      </c>
      <c r="D7" s="39"/>
      <c r="E7" s="39">
        <f t="shared" si="0"/>
        <v>7140</v>
      </c>
      <c r="F7" s="39">
        <v>50200</v>
      </c>
      <c r="G7" s="39">
        <v>50200</v>
      </c>
      <c r="H7" s="39">
        <f>F7-G7</f>
        <v>0</v>
      </c>
      <c r="I7" s="39">
        <v>20007</v>
      </c>
      <c r="J7" s="39"/>
      <c r="K7" s="39">
        <f aca="true" t="shared" si="3" ref="K7:K54">I7-J7</f>
        <v>20007</v>
      </c>
      <c r="L7" s="39"/>
      <c r="M7" s="39"/>
      <c r="N7" s="39">
        <f>L7-M7</f>
        <v>0</v>
      </c>
      <c r="O7" s="39">
        <v>27627</v>
      </c>
      <c r="P7" s="39"/>
      <c r="Q7" s="39">
        <f aca="true" t="shared" si="4" ref="Q7:Q54">O7-P7</f>
        <v>27627</v>
      </c>
      <c r="R7" s="39"/>
      <c r="S7" s="39"/>
      <c r="T7" s="39">
        <f aca="true" t="shared" si="5" ref="T7:T54">R7-S7</f>
        <v>0</v>
      </c>
      <c r="U7" s="39">
        <v>17149</v>
      </c>
      <c r="V7" s="39"/>
      <c r="W7" s="39">
        <f aca="true" t="shared" si="6" ref="W7:W54">U7-V7</f>
        <v>17149</v>
      </c>
      <c r="X7" s="39"/>
      <c r="Y7" s="39"/>
      <c r="Z7" s="39">
        <f aca="true" t="shared" si="7" ref="Z7:Z54">X7-Y7</f>
        <v>0</v>
      </c>
      <c r="AA7" s="39"/>
      <c r="AB7" s="39"/>
      <c r="AC7" s="39">
        <f aca="true" t="shared" si="8" ref="AC7:AC54">AA7-AB7</f>
        <v>0</v>
      </c>
      <c r="AD7" s="39"/>
      <c r="AE7" s="39"/>
      <c r="AF7" s="39">
        <f aca="true" t="shared" si="9" ref="AF7:AF54">AD7-AE7</f>
        <v>0</v>
      </c>
      <c r="AG7" s="39"/>
      <c r="AH7" s="39"/>
      <c r="AI7" s="39">
        <f aca="true" t="shared" si="10" ref="AI7:AI54">AG7-AH7</f>
        <v>0</v>
      </c>
      <c r="AJ7" s="39"/>
      <c r="AK7" s="39"/>
      <c r="AL7" s="39">
        <f aca="true" t="shared" si="11" ref="AL7:AL54">AJ7-AK7</f>
        <v>0</v>
      </c>
      <c r="AM7" s="39">
        <v>18806</v>
      </c>
      <c r="AN7" s="39">
        <v>6269</v>
      </c>
      <c r="AO7" s="39">
        <f aca="true" t="shared" si="12" ref="AO7:AO54">AM7-AN7</f>
        <v>12537</v>
      </c>
      <c r="AP7" s="39"/>
      <c r="AQ7" s="39"/>
      <c r="AR7" s="39">
        <f aca="true" t="shared" si="13" ref="AR7:AR53">AP7-AQ7</f>
        <v>0</v>
      </c>
      <c r="AS7" s="39"/>
      <c r="AT7" s="39"/>
      <c r="AU7" s="39">
        <f aca="true" t="shared" si="14" ref="AU7:AU54">AS7-AT7</f>
        <v>0</v>
      </c>
      <c r="AV7" s="39"/>
      <c r="AW7" s="39"/>
      <c r="AX7" s="39">
        <f aca="true" t="shared" si="15" ref="AX7:AX54">AV7-AW7</f>
        <v>0</v>
      </c>
      <c r="AY7" s="39"/>
      <c r="AZ7" s="39"/>
      <c r="BA7" s="40">
        <f t="shared" si="1"/>
        <v>0</v>
      </c>
      <c r="BB7" s="40"/>
      <c r="BC7" s="40"/>
      <c r="BD7" s="40"/>
      <c r="BE7" s="40"/>
      <c r="BF7" s="55">
        <v>25238</v>
      </c>
      <c r="BG7" s="40">
        <v>92004.95</v>
      </c>
      <c r="BH7" s="40"/>
      <c r="BI7" s="40"/>
      <c r="BJ7" s="40"/>
      <c r="BK7" s="40"/>
      <c r="BL7" s="40">
        <f t="shared" si="2"/>
        <v>117242.95</v>
      </c>
      <c r="BM7" s="40"/>
    </row>
    <row r="8" spans="1:65" ht="13.5" thickBot="1">
      <c r="A8" s="33">
        <v>3</v>
      </c>
      <c r="B8" s="52" t="s">
        <v>23</v>
      </c>
      <c r="C8" s="39">
        <v>13770</v>
      </c>
      <c r="D8" s="39"/>
      <c r="E8" s="39">
        <f t="shared" si="0"/>
        <v>13770</v>
      </c>
      <c r="F8" s="39"/>
      <c r="G8" s="39"/>
      <c r="H8" s="39">
        <f>F8-G8</f>
        <v>0</v>
      </c>
      <c r="I8" s="39">
        <v>33345</v>
      </c>
      <c r="J8" s="39"/>
      <c r="K8" s="39">
        <f t="shared" si="3"/>
        <v>33345</v>
      </c>
      <c r="L8" s="39">
        <v>16730</v>
      </c>
      <c r="M8" s="39"/>
      <c r="N8" s="39">
        <f>L8-M8</f>
        <v>16730</v>
      </c>
      <c r="O8" s="39">
        <f>23511+28584</f>
        <v>52095</v>
      </c>
      <c r="P8" s="39"/>
      <c r="Q8" s="39">
        <f t="shared" si="4"/>
        <v>52095</v>
      </c>
      <c r="R8" s="39"/>
      <c r="S8" s="39"/>
      <c r="T8" s="39">
        <f t="shared" si="5"/>
        <v>0</v>
      </c>
      <c r="U8" s="39"/>
      <c r="V8" s="39"/>
      <c r="W8" s="39">
        <f t="shared" si="6"/>
        <v>0</v>
      </c>
      <c r="X8" s="39"/>
      <c r="Y8" s="39"/>
      <c r="Z8" s="39">
        <f t="shared" si="7"/>
        <v>0</v>
      </c>
      <c r="AA8" s="39"/>
      <c r="AB8" s="39"/>
      <c r="AC8" s="39">
        <f t="shared" si="8"/>
        <v>0</v>
      </c>
      <c r="AD8" s="39">
        <v>11550</v>
      </c>
      <c r="AE8" s="39"/>
      <c r="AF8" s="39">
        <f t="shared" si="9"/>
        <v>11550</v>
      </c>
      <c r="AG8" s="39"/>
      <c r="AH8" s="39"/>
      <c r="AI8" s="39">
        <f t="shared" si="10"/>
        <v>0</v>
      </c>
      <c r="AJ8" s="39"/>
      <c r="AK8" s="39"/>
      <c r="AL8" s="39">
        <f t="shared" si="11"/>
        <v>0</v>
      </c>
      <c r="AM8" s="39">
        <v>22429</v>
      </c>
      <c r="AN8" s="39">
        <v>7476</v>
      </c>
      <c r="AO8" s="39">
        <f t="shared" si="12"/>
        <v>14953</v>
      </c>
      <c r="AP8" s="39"/>
      <c r="AQ8" s="39"/>
      <c r="AR8" s="39">
        <f t="shared" si="13"/>
        <v>0</v>
      </c>
      <c r="AS8" s="39"/>
      <c r="AT8" s="39"/>
      <c r="AU8" s="39">
        <f t="shared" si="14"/>
        <v>0</v>
      </c>
      <c r="AV8" s="39"/>
      <c r="AW8" s="39"/>
      <c r="AX8" s="39">
        <f t="shared" si="15"/>
        <v>0</v>
      </c>
      <c r="AY8" s="39"/>
      <c r="AZ8" s="39"/>
      <c r="BA8" s="40">
        <f t="shared" si="1"/>
        <v>0</v>
      </c>
      <c r="BB8" s="40"/>
      <c r="BC8" s="40"/>
      <c r="BD8" s="40"/>
      <c r="BE8" s="40"/>
      <c r="BF8" s="55">
        <v>60948</v>
      </c>
      <c r="BG8" s="40">
        <v>95017.86</v>
      </c>
      <c r="BH8" s="40"/>
      <c r="BI8" s="40"/>
      <c r="BJ8" s="40"/>
      <c r="BK8" s="40"/>
      <c r="BL8" s="40">
        <f t="shared" si="2"/>
        <v>155965.86</v>
      </c>
      <c r="BM8" s="40"/>
    </row>
    <row r="9" spans="1:65" ht="13.5" thickBot="1">
      <c r="A9" s="36">
        <v>4</v>
      </c>
      <c r="B9" s="39" t="s">
        <v>24</v>
      </c>
      <c r="C9" s="39">
        <v>840</v>
      </c>
      <c r="D9" s="39"/>
      <c r="E9" s="39">
        <f t="shared" si="0"/>
        <v>840</v>
      </c>
      <c r="F9" s="39">
        <v>50200</v>
      </c>
      <c r="G9" s="39">
        <v>50200</v>
      </c>
      <c r="H9" s="39">
        <f>F9-G9</f>
        <v>0</v>
      </c>
      <c r="I9" s="39">
        <v>26676</v>
      </c>
      <c r="J9" s="39"/>
      <c r="K9" s="39">
        <f t="shared" si="3"/>
        <v>26676</v>
      </c>
      <c r="L9" s="39"/>
      <c r="M9" s="39"/>
      <c r="N9" s="39">
        <f>L9-M9</f>
        <v>0</v>
      </c>
      <c r="O9" s="39"/>
      <c r="P9" s="39"/>
      <c r="Q9" s="39">
        <f t="shared" si="4"/>
        <v>0</v>
      </c>
      <c r="R9" s="39"/>
      <c r="S9" s="39"/>
      <c r="T9" s="39">
        <f t="shared" si="5"/>
        <v>0</v>
      </c>
      <c r="U9" s="39"/>
      <c r="V9" s="39"/>
      <c r="W9" s="39">
        <f t="shared" si="6"/>
        <v>0</v>
      </c>
      <c r="X9" s="39"/>
      <c r="Y9" s="39"/>
      <c r="Z9" s="39">
        <f t="shared" si="7"/>
        <v>0</v>
      </c>
      <c r="AA9" s="39"/>
      <c r="AB9" s="39"/>
      <c r="AC9" s="39">
        <f t="shared" si="8"/>
        <v>0</v>
      </c>
      <c r="AD9" s="39"/>
      <c r="AE9" s="39"/>
      <c r="AF9" s="39">
        <f t="shared" si="9"/>
        <v>0</v>
      </c>
      <c r="AG9" s="39"/>
      <c r="AH9" s="39"/>
      <c r="AI9" s="39">
        <f t="shared" si="10"/>
        <v>0</v>
      </c>
      <c r="AJ9" s="39"/>
      <c r="AK9" s="39"/>
      <c r="AL9" s="39">
        <f t="shared" si="11"/>
        <v>0</v>
      </c>
      <c r="AM9" s="39">
        <v>41099</v>
      </c>
      <c r="AN9" s="39">
        <v>13700</v>
      </c>
      <c r="AO9" s="39">
        <f t="shared" si="12"/>
        <v>27399</v>
      </c>
      <c r="AP9" s="39"/>
      <c r="AQ9" s="39"/>
      <c r="AR9" s="39">
        <f t="shared" si="13"/>
        <v>0</v>
      </c>
      <c r="AS9" s="39"/>
      <c r="AT9" s="39"/>
      <c r="AU9" s="39">
        <f t="shared" si="14"/>
        <v>0</v>
      </c>
      <c r="AV9" s="39"/>
      <c r="AW9" s="39"/>
      <c r="AX9" s="39">
        <f t="shared" si="15"/>
        <v>0</v>
      </c>
      <c r="AY9" s="39"/>
      <c r="AZ9" s="39"/>
      <c r="BA9" s="40">
        <f t="shared" si="1"/>
        <v>0</v>
      </c>
      <c r="BB9" s="40"/>
      <c r="BC9" s="40"/>
      <c r="BD9" s="40"/>
      <c r="BE9" s="40"/>
      <c r="BF9" s="55">
        <v>18754</v>
      </c>
      <c r="BG9" s="40">
        <v>69018.26</v>
      </c>
      <c r="BH9" s="40"/>
      <c r="BI9" s="40"/>
      <c r="BJ9" s="40"/>
      <c r="BK9" s="40"/>
      <c r="BL9" s="40">
        <f t="shared" si="2"/>
        <v>87772.26</v>
      </c>
      <c r="BM9" s="40"/>
    </row>
    <row r="10" spans="1:73" ht="13.5" thickBot="1">
      <c r="A10" s="33">
        <v>5</v>
      </c>
      <c r="B10" s="52" t="s">
        <v>25</v>
      </c>
      <c r="C10" s="39">
        <v>63420</v>
      </c>
      <c r="D10" s="39"/>
      <c r="E10" s="39">
        <f t="shared" si="0"/>
        <v>63420</v>
      </c>
      <c r="F10" s="39"/>
      <c r="G10" s="39"/>
      <c r="H10" s="39">
        <f>F10-G10</f>
        <v>0</v>
      </c>
      <c r="I10" s="39">
        <v>8892</v>
      </c>
      <c r="J10" s="39"/>
      <c r="K10" s="39">
        <f t="shared" si="3"/>
        <v>8892</v>
      </c>
      <c r="L10" s="39">
        <v>8365</v>
      </c>
      <c r="M10" s="39"/>
      <c r="N10" s="39">
        <f>L10-M10</f>
        <v>8365</v>
      </c>
      <c r="O10" s="39"/>
      <c r="P10" s="39"/>
      <c r="Q10" s="39">
        <f t="shared" si="4"/>
        <v>0</v>
      </c>
      <c r="R10" s="39">
        <v>25612</v>
      </c>
      <c r="S10" s="39"/>
      <c r="T10" s="39">
        <f t="shared" si="5"/>
        <v>25612</v>
      </c>
      <c r="U10" s="39">
        <v>17149</v>
      </c>
      <c r="V10" s="39"/>
      <c r="W10" s="39">
        <f t="shared" si="6"/>
        <v>17149</v>
      </c>
      <c r="X10" s="39">
        <f>27079+1675</f>
        <v>28754</v>
      </c>
      <c r="Y10" s="39"/>
      <c r="Z10" s="39">
        <f t="shared" si="7"/>
        <v>28754</v>
      </c>
      <c r="AA10" s="39"/>
      <c r="AB10" s="39"/>
      <c r="AC10" s="39">
        <f t="shared" si="8"/>
        <v>0</v>
      </c>
      <c r="AD10" s="39"/>
      <c r="AE10" s="39"/>
      <c r="AF10" s="39">
        <f t="shared" si="9"/>
        <v>0</v>
      </c>
      <c r="AG10" s="39"/>
      <c r="AH10" s="39"/>
      <c r="AI10" s="39">
        <f t="shared" si="10"/>
        <v>0</v>
      </c>
      <c r="AJ10" s="39"/>
      <c r="AK10" s="39"/>
      <c r="AL10" s="39">
        <f t="shared" si="11"/>
        <v>0</v>
      </c>
      <c r="AM10" s="39">
        <v>10215</v>
      </c>
      <c r="AN10" s="39">
        <v>3405</v>
      </c>
      <c r="AO10" s="39">
        <f t="shared" si="12"/>
        <v>6810</v>
      </c>
      <c r="AP10" s="39"/>
      <c r="AQ10" s="39"/>
      <c r="AR10" s="39">
        <f t="shared" si="13"/>
        <v>0</v>
      </c>
      <c r="AS10" s="39">
        <f>18984+91332</f>
        <v>110316</v>
      </c>
      <c r="AT10" s="39"/>
      <c r="AU10" s="39">
        <f t="shared" si="14"/>
        <v>110316</v>
      </c>
      <c r="AV10" s="39"/>
      <c r="AW10" s="39"/>
      <c r="AX10" s="39">
        <f t="shared" si="15"/>
        <v>0</v>
      </c>
      <c r="AY10" s="39"/>
      <c r="AZ10" s="39"/>
      <c r="BA10" s="40">
        <f t="shared" si="1"/>
        <v>0</v>
      </c>
      <c r="BB10" s="40"/>
      <c r="BC10" s="40"/>
      <c r="BD10" s="40"/>
      <c r="BE10" s="40"/>
      <c r="BF10" s="55">
        <v>-62713</v>
      </c>
      <c r="BG10" s="40">
        <v>83301.37</v>
      </c>
      <c r="BH10" s="40">
        <v>30472.6</v>
      </c>
      <c r="BI10" s="40">
        <v>1892.77</v>
      </c>
      <c r="BJ10" s="40"/>
      <c r="BK10" s="40"/>
      <c r="BL10" s="40">
        <f t="shared" si="2"/>
        <v>52953.73999999999</v>
      </c>
      <c r="BM10" s="40"/>
      <c r="BN10" s="79"/>
      <c r="BO10" s="79"/>
      <c r="BP10" s="79"/>
      <c r="BQ10" s="79"/>
      <c r="BR10" s="79"/>
      <c r="BS10" s="79"/>
      <c r="BT10" s="79"/>
      <c r="BU10" s="79"/>
    </row>
    <row r="11" spans="1:73" ht="13.5" thickBot="1">
      <c r="A11" s="36">
        <v>6</v>
      </c>
      <c r="B11" s="39" t="s">
        <v>26</v>
      </c>
      <c r="C11" s="49">
        <f>35910+11280</f>
        <v>47190</v>
      </c>
      <c r="D11" s="49">
        <v>47190</v>
      </c>
      <c r="E11" s="49">
        <f t="shared" si="0"/>
        <v>0</v>
      </c>
      <c r="F11" s="49">
        <v>12840</v>
      </c>
      <c r="G11" s="49">
        <v>12840</v>
      </c>
      <c r="H11" s="49">
        <f aca="true" t="shared" si="16" ref="H11:H54">F11-G11</f>
        <v>0</v>
      </c>
      <c r="I11" s="49">
        <v>8892</v>
      </c>
      <c r="J11" s="49"/>
      <c r="K11" s="49">
        <f t="shared" si="3"/>
        <v>8892</v>
      </c>
      <c r="L11" s="49">
        <v>8365</v>
      </c>
      <c r="M11" s="49"/>
      <c r="N11" s="49">
        <f aca="true" t="shared" si="17" ref="N11:N54">L11-M11</f>
        <v>8365</v>
      </c>
      <c r="O11" s="49"/>
      <c r="P11" s="49"/>
      <c r="Q11" s="49">
        <f t="shared" si="4"/>
        <v>0</v>
      </c>
      <c r="R11" s="49"/>
      <c r="S11" s="49"/>
      <c r="T11" s="49">
        <f t="shared" si="5"/>
        <v>0</v>
      </c>
      <c r="U11" s="49">
        <v>34298</v>
      </c>
      <c r="V11" s="49"/>
      <c r="W11" s="49">
        <f t="shared" si="6"/>
        <v>34298</v>
      </c>
      <c r="X11" s="49">
        <f>45396+27079+1675</f>
        <v>74150</v>
      </c>
      <c r="Y11" s="49">
        <f>27079+45396</f>
        <v>72475</v>
      </c>
      <c r="Z11" s="49">
        <f t="shared" si="7"/>
        <v>1675</v>
      </c>
      <c r="AA11" s="49">
        <f>652108+630000</f>
        <v>1282108</v>
      </c>
      <c r="AB11" s="49"/>
      <c r="AC11" s="49">
        <f t="shared" si="8"/>
        <v>1282108</v>
      </c>
      <c r="AD11" s="49"/>
      <c r="AE11" s="49"/>
      <c r="AF11" s="49">
        <f t="shared" si="9"/>
        <v>0</v>
      </c>
      <c r="AG11" s="49"/>
      <c r="AH11" s="49"/>
      <c r="AI11" s="49">
        <f t="shared" si="10"/>
        <v>0</v>
      </c>
      <c r="AJ11" s="49"/>
      <c r="AK11" s="49"/>
      <c r="AL11" s="49">
        <f t="shared" si="11"/>
        <v>0</v>
      </c>
      <c r="AM11" s="49">
        <v>9337</v>
      </c>
      <c r="AN11" s="49">
        <v>3112</v>
      </c>
      <c r="AO11" s="49">
        <f t="shared" si="12"/>
        <v>6225</v>
      </c>
      <c r="AP11" s="49"/>
      <c r="AQ11" s="49"/>
      <c r="AR11" s="49">
        <f t="shared" si="13"/>
        <v>0</v>
      </c>
      <c r="AS11" s="49">
        <f>123453+91332</f>
        <v>214785</v>
      </c>
      <c r="AT11" s="49"/>
      <c r="AU11" s="49">
        <f t="shared" si="14"/>
        <v>214785</v>
      </c>
      <c r="AV11" s="49"/>
      <c r="AW11" s="49"/>
      <c r="AX11" s="49">
        <f t="shared" si="15"/>
        <v>0</v>
      </c>
      <c r="AY11" s="49"/>
      <c r="AZ11" s="49"/>
      <c r="BA11" s="49">
        <f t="shared" si="1"/>
        <v>0</v>
      </c>
      <c r="BB11" s="49"/>
      <c r="BC11" s="49"/>
      <c r="BD11" s="49"/>
      <c r="BE11" s="49"/>
      <c r="BF11" s="59">
        <v>-51638</v>
      </c>
      <c r="BG11" s="49">
        <v>83303.14</v>
      </c>
      <c r="BH11" s="49">
        <v>31605.12</v>
      </c>
      <c r="BI11" s="49">
        <v>1079.57</v>
      </c>
      <c r="BJ11" s="49"/>
      <c r="BK11" s="49"/>
      <c r="BL11" s="49">
        <f t="shared" si="2"/>
        <v>64349.829999999994</v>
      </c>
      <c r="BM11" s="49"/>
      <c r="BN11" s="79"/>
      <c r="BO11" s="79"/>
      <c r="BP11" s="79"/>
      <c r="BQ11" s="79"/>
      <c r="BR11" s="79"/>
      <c r="BS11" s="79"/>
      <c r="BT11" s="79"/>
      <c r="BU11" s="79"/>
    </row>
    <row r="12" spans="1:65" ht="13.5" thickBot="1">
      <c r="A12" s="33">
        <v>7</v>
      </c>
      <c r="B12" s="52" t="s">
        <v>27</v>
      </c>
      <c r="C12" s="39"/>
      <c r="D12" s="39"/>
      <c r="E12" s="39">
        <f t="shared" si="0"/>
        <v>0</v>
      </c>
      <c r="F12" s="39"/>
      <c r="G12" s="39"/>
      <c r="H12" s="39">
        <f t="shared" si="16"/>
        <v>0</v>
      </c>
      <c r="I12" s="39">
        <v>33345</v>
      </c>
      <c r="J12" s="39">
        <v>33345</v>
      </c>
      <c r="K12" s="39">
        <f t="shared" si="3"/>
        <v>0</v>
      </c>
      <c r="L12" s="39">
        <v>41825</v>
      </c>
      <c r="M12" s="39">
        <v>41825</v>
      </c>
      <c r="N12" s="39">
        <f t="shared" si="17"/>
        <v>0</v>
      </c>
      <c r="O12" s="39">
        <v>99904</v>
      </c>
      <c r="P12" s="39">
        <v>99904</v>
      </c>
      <c r="Q12" s="39">
        <f t="shared" si="4"/>
        <v>0</v>
      </c>
      <c r="R12" s="39"/>
      <c r="S12" s="39"/>
      <c r="T12" s="39">
        <f t="shared" si="5"/>
        <v>0</v>
      </c>
      <c r="U12" s="39"/>
      <c r="V12" s="39"/>
      <c r="W12" s="39">
        <f t="shared" si="6"/>
        <v>0</v>
      </c>
      <c r="X12" s="39">
        <v>41024</v>
      </c>
      <c r="Y12" s="39">
        <v>41024</v>
      </c>
      <c r="Z12" s="39">
        <f t="shared" si="7"/>
        <v>0</v>
      </c>
      <c r="AA12" s="39"/>
      <c r="AB12" s="39"/>
      <c r="AC12" s="39">
        <f t="shared" si="8"/>
        <v>0</v>
      </c>
      <c r="AD12" s="39"/>
      <c r="AE12" s="39"/>
      <c r="AF12" s="39">
        <f t="shared" si="9"/>
        <v>0</v>
      </c>
      <c r="AG12" s="39"/>
      <c r="AH12" s="39"/>
      <c r="AI12" s="39">
        <f t="shared" si="10"/>
        <v>0</v>
      </c>
      <c r="AJ12" s="39"/>
      <c r="AK12" s="39"/>
      <c r="AL12" s="39">
        <f t="shared" si="11"/>
        <v>0</v>
      </c>
      <c r="AM12" s="39">
        <v>28445</v>
      </c>
      <c r="AN12" s="39">
        <v>9482</v>
      </c>
      <c r="AO12" s="39">
        <f t="shared" si="12"/>
        <v>18963</v>
      </c>
      <c r="AP12" s="39"/>
      <c r="AQ12" s="39"/>
      <c r="AR12" s="39">
        <f t="shared" si="13"/>
        <v>0</v>
      </c>
      <c r="AS12" s="39"/>
      <c r="AT12" s="39"/>
      <c r="AU12" s="39">
        <f t="shared" si="14"/>
        <v>0</v>
      </c>
      <c r="AV12" s="39"/>
      <c r="AW12" s="39"/>
      <c r="AX12" s="39">
        <f t="shared" si="15"/>
        <v>0</v>
      </c>
      <c r="AY12" s="39"/>
      <c r="AZ12" s="39"/>
      <c r="BA12" s="40">
        <f aca="true" t="shared" si="18" ref="BA12:BA54">AY12-AZ12</f>
        <v>0</v>
      </c>
      <c r="BB12" s="40"/>
      <c r="BC12" s="40"/>
      <c r="BD12" s="40"/>
      <c r="BE12" s="40"/>
      <c r="BF12" s="55">
        <v>71909</v>
      </c>
      <c r="BG12" s="40">
        <v>90380.3</v>
      </c>
      <c r="BH12" s="40"/>
      <c r="BI12" s="40"/>
      <c r="BJ12" s="40"/>
      <c r="BK12" s="40"/>
      <c r="BL12" s="40">
        <f t="shared" si="2"/>
        <v>162289.3</v>
      </c>
      <c r="BM12" s="40"/>
    </row>
    <row r="13" spans="1:65" ht="13.5" thickBot="1">
      <c r="A13" s="36">
        <v>8</v>
      </c>
      <c r="B13" s="39" t="s">
        <v>28</v>
      </c>
      <c r="C13" s="39">
        <v>6045</v>
      </c>
      <c r="D13" s="39"/>
      <c r="E13" s="39">
        <f t="shared" si="0"/>
        <v>6045</v>
      </c>
      <c r="F13" s="39"/>
      <c r="G13" s="39"/>
      <c r="H13" s="39">
        <f t="shared" si="16"/>
        <v>0</v>
      </c>
      <c r="I13" s="39"/>
      <c r="J13" s="39"/>
      <c r="K13" s="39">
        <f t="shared" si="3"/>
        <v>0</v>
      </c>
      <c r="L13" s="39"/>
      <c r="M13" s="39"/>
      <c r="N13" s="39">
        <f t="shared" si="17"/>
        <v>0</v>
      </c>
      <c r="O13" s="39"/>
      <c r="P13" s="39"/>
      <c r="Q13" s="39">
        <f t="shared" si="4"/>
        <v>0</v>
      </c>
      <c r="R13" s="39"/>
      <c r="S13" s="39"/>
      <c r="T13" s="39">
        <f t="shared" si="5"/>
        <v>0</v>
      </c>
      <c r="U13" s="39"/>
      <c r="V13" s="39"/>
      <c r="W13" s="39">
        <f t="shared" si="6"/>
        <v>0</v>
      </c>
      <c r="X13" s="39">
        <v>30768</v>
      </c>
      <c r="Y13" s="39"/>
      <c r="Z13" s="39">
        <f t="shared" si="7"/>
        <v>30768</v>
      </c>
      <c r="AA13" s="39"/>
      <c r="AB13" s="39"/>
      <c r="AC13" s="39">
        <f t="shared" si="8"/>
        <v>0</v>
      </c>
      <c r="AD13" s="39"/>
      <c r="AE13" s="39"/>
      <c r="AF13" s="39">
        <f t="shared" si="9"/>
        <v>0</v>
      </c>
      <c r="AG13" s="39"/>
      <c r="AH13" s="39"/>
      <c r="AI13" s="39">
        <f t="shared" si="10"/>
        <v>0</v>
      </c>
      <c r="AJ13" s="39"/>
      <c r="AK13" s="39"/>
      <c r="AL13" s="39">
        <f t="shared" si="11"/>
        <v>0</v>
      </c>
      <c r="AM13" s="39">
        <v>10112</v>
      </c>
      <c r="AN13" s="39">
        <v>3371</v>
      </c>
      <c r="AO13" s="39">
        <f t="shared" si="12"/>
        <v>6741</v>
      </c>
      <c r="AP13" s="39"/>
      <c r="AQ13" s="39"/>
      <c r="AR13" s="39">
        <f t="shared" si="13"/>
        <v>0</v>
      </c>
      <c r="AS13" s="39"/>
      <c r="AT13" s="39"/>
      <c r="AU13" s="39">
        <f t="shared" si="14"/>
        <v>0</v>
      </c>
      <c r="AV13" s="39"/>
      <c r="AW13" s="39"/>
      <c r="AX13" s="39">
        <f t="shared" si="15"/>
        <v>0</v>
      </c>
      <c r="AY13" s="39"/>
      <c r="AZ13" s="39"/>
      <c r="BA13" s="40">
        <f t="shared" si="18"/>
        <v>0</v>
      </c>
      <c r="BB13" s="40"/>
      <c r="BC13" s="40"/>
      <c r="BD13" s="40"/>
      <c r="BE13" s="40"/>
      <c r="BF13" s="55">
        <v>58282</v>
      </c>
      <c r="BG13" s="40">
        <v>69649.78</v>
      </c>
      <c r="BH13" s="40"/>
      <c r="BI13" s="40"/>
      <c r="BJ13" s="40"/>
      <c r="BK13" s="40"/>
      <c r="BL13" s="40">
        <f t="shared" si="2"/>
        <v>127931.78</v>
      </c>
      <c r="BM13" s="40"/>
    </row>
    <row r="14" spans="1:65" ht="13.5" thickBot="1">
      <c r="A14" s="33">
        <v>9</v>
      </c>
      <c r="B14" s="52" t="s">
        <v>29</v>
      </c>
      <c r="C14" s="39"/>
      <c r="D14" s="39"/>
      <c r="E14" s="39">
        <f t="shared" si="0"/>
        <v>0</v>
      </c>
      <c r="F14" s="39"/>
      <c r="G14" s="39"/>
      <c r="H14" s="39">
        <f t="shared" si="16"/>
        <v>0</v>
      </c>
      <c r="I14" s="67">
        <v>33345</v>
      </c>
      <c r="J14" s="39"/>
      <c r="K14" s="39">
        <f aca="true" t="shared" si="19" ref="K14:K27">I24-J14</f>
        <v>20007</v>
      </c>
      <c r="L14" s="39">
        <v>25095</v>
      </c>
      <c r="M14" s="39"/>
      <c r="N14" s="39">
        <f t="shared" si="17"/>
        <v>25095</v>
      </c>
      <c r="O14" s="39"/>
      <c r="P14" s="39"/>
      <c r="Q14" s="39">
        <f t="shared" si="4"/>
        <v>0</v>
      </c>
      <c r="R14" s="39"/>
      <c r="S14" s="39"/>
      <c r="T14" s="39">
        <f t="shared" si="5"/>
        <v>0</v>
      </c>
      <c r="U14" s="39"/>
      <c r="V14" s="39"/>
      <c r="W14" s="39">
        <f t="shared" si="6"/>
        <v>0</v>
      </c>
      <c r="X14" s="39"/>
      <c r="Y14" s="39"/>
      <c r="Z14" s="39">
        <f t="shared" si="7"/>
        <v>0</v>
      </c>
      <c r="AA14" s="39"/>
      <c r="AB14" s="39"/>
      <c r="AC14" s="39">
        <f t="shared" si="8"/>
        <v>0</v>
      </c>
      <c r="AD14" s="39"/>
      <c r="AE14" s="39"/>
      <c r="AF14" s="39">
        <f t="shared" si="9"/>
        <v>0</v>
      </c>
      <c r="AG14" s="39"/>
      <c r="AH14" s="39"/>
      <c r="AI14" s="39">
        <f t="shared" si="10"/>
        <v>0</v>
      </c>
      <c r="AJ14" s="39"/>
      <c r="AK14" s="39"/>
      <c r="AL14" s="39">
        <f t="shared" si="11"/>
        <v>0</v>
      </c>
      <c r="AM14" s="39">
        <v>26093</v>
      </c>
      <c r="AN14" s="39">
        <v>8698</v>
      </c>
      <c r="AO14" s="39">
        <f t="shared" si="12"/>
        <v>17395</v>
      </c>
      <c r="AP14" s="39"/>
      <c r="AQ14" s="39"/>
      <c r="AR14" s="39">
        <f t="shared" si="13"/>
        <v>0</v>
      </c>
      <c r="AS14" s="39"/>
      <c r="AT14" s="39"/>
      <c r="AU14" s="39">
        <f t="shared" si="14"/>
        <v>0</v>
      </c>
      <c r="AV14" s="39"/>
      <c r="AW14" s="39"/>
      <c r="AX14" s="39">
        <f t="shared" si="15"/>
        <v>0</v>
      </c>
      <c r="AY14" s="39"/>
      <c r="AZ14" s="39"/>
      <c r="BA14" s="40">
        <f t="shared" si="18"/>
        <v>0</v>
      </c>
      <c r="BB14" s="40"/>
      <c r="BC14" s="40"/>
      <c r="BD14" s="40"/>
      <c r="BE14" s="40"/>
      <c r="BF14" s="55">
        <v>60559</v>
      </c>
      <c r="BG14" s="40">
        <v>70122.53</v>
      </c>
      <c r="BH14" s="40"/>
      <c r="BI14" s="40"/>
      <c r="BJ14" s="40"/>
      <c r="BK14" s="40"/>
      <c r="BL14" s="40">
        <f t="shared" si="2"/>
        <v>130681.53</v>
      </c>
      <c r="BM14" s="40"/>
    </row>
    <row r="15" spans="1:65" ht="13.5" thickBot="1">
      <c r="A15" s="36">
        <v>10</v>
      </c>
      <c r="B15" s="39" t="s">
        <v>30</v>
      </c>
      <c r="C15" s="39">
        <v>4410</v>
      </c>
      <c r="D15" s="39"/>
      <c r="E15" s="39">
        <f t="shared" si="0"/>
        <v>4410</v>
      </c>
      <c r="F15" s="39"/>
      <c r="G15" s="39"/>
      <c r="H15" s="39">
        <f t="shared" si="16"/>
        <v>0</v>
      </c>
      <c r="J15" s="39"/>
      <c r="K15" s="39">
        <f t="shared" si="19"/>
        <v>0</v>
      </c>
      <c r="L15" s="39"/>
      <c r="M15" s="39"/>
      <c r="N15" s="39">
        <f t="shared" si="17"/>
        <v>0</v>
      </c>
      <c r="O15" s="39"/>
      <c r="P15" s="39"/>
      <c r="Q15" s="39">
        <f t="shared" si="4"/>
        <v>0</v>
      </c>
      <c r="R15" s="39"/>
      <c r="S15" s="39"/>
      <c r="T15" s="39">
        <f t="shared" si="5"/>
        <v>0</v>
      </c>
      <c r="U15" s="39"/>
      <c r="V15" s="39"/>
      <c r="W15" s="39">
        <f t="shared" si="6"/>
        <v>0</v>
      </c>
      <c r="X15" s="39">
        <v>30768</v>
      </c>
      <c r="Y15" s="39"/>
      <c r="Z15" s="39">
        <f t="shared" si="7"/>
        <v>30768</v>
      </c>
      <c r="AA15" s="39"/>
      <c r="AB15" s="39"/>
      <c r="AC15" s="39">
        <f t="shared" si="8"/>
        <v>0</v>
      </c>
      <c r="AD15" s="39"/>
      <c r="AE15" s="39"/>
      <c r="AF15" s="39">
        <f t="shared" si="9"/>
        <v>0</v>
      </c>
      <c r="AG15" s="39"/>
      <c r="AH15" s="39"/>
      <c r="AI15" s="39">
        <f t="shared" si="10"/>
        <v>0</v>
      </c>
      <c r="AJ15" s="39"/>
      <c r="AK15" s="39"/>
      <c r="AL15" s="39">
        <f t="shared" si="11"/>
        <v>0</v>
      </c>
      <c r="AM15" s="39">
        <v>27902</v>
      </c>
      <c r="AN15" s="39">
        <v>9301</v>
      </c>
      <c r="AO15" s="39">
        <f t="shared" si="12"/>
        <v>18601</v>
      </c>
      <c r="AP15" s="39"/>
      <c r="AQ15" s="39"/>
      <c r="AR15" s="39">
        <f t="shared" si="13"/>
        <v>0</v>
      </c>
      <c r="AS15" s="39"/>
      <c r="AT15" s="39"/>
      <c r="AU15" s="39">
        <f t="shared" si="14"/>
        <v>0</v>
      </c>
      <c r="AV15" s="39"/>
      <c r="AW15" s="39"/>
      <c r="AX15" s="39">
        <f t="shared" si="15"/>
        <v>0</v>
      </c>
      <c r="AY15" s="39"/>
      <c r="AZ15" s="39"/>
      <c r="BA15" s="40">
        <f t="shared" si="18"/>
        <v>0</v>
      </c>
      <c r="BB15" s="40">
        <v>82365</v>
      </c>
      <c r="BC15" s="40"/>
      <c r="BD15" s="40"/>
      <c r="BE15" s="40"/>
      <c r="BF15" s="55">
        <v>-112470</v>
      </c>
      <c r="BG15" s="40">
        <v>70646.44</v>
      </c>
      <c r="BH15" s="40"/>
      <c r="BI15" s="40"/>
      <c r="BJ15" s="40"/>
      <c r="BK15" s="40"/>
      <c r="BL15" s="40">
        <f t="shared" si="2"/>
        <v>-41823.56</v>
      </c>
      <c r="BM15" s="40"/>
    </row>
    <row r="16" spans="1:65" ht="13.5" thickBot="1">
      <c r="A16" s="33">
        <v>11</v>
      </c>
      <c r="B16" s="52" t="s">
        <v>31</v>
      </c>
      <c r="C16" s="39">
        <v>5460</v>
      </c>
      <c r="D16" s="39"/>
      <c r="E16" s="39">
        <f t="shared" si="0"/>
        <v>5460</v>
      </c>
      <c r="F16" s="39"/>
      <c r="G16" s="39"/>
      <c r="H16" s="39">
        <f t="shared" si="16"/>
        <v>0</v>
      </c>
      <c r="J16" s="39"/>
      <c r="K16" s="39">
        <f t="shared" si="19"/>
        <v>0</v>
      </c>
      <c r="L16" s="39">
        <v>50190</v>
      </c>
      <c r="M16" s="39"/>
      <c r="N16" s="39">
        <f t="shared" si="17"/>
        <v>50190</v>
      </c>
      <c r="O16" s="39"/>
      <c r="P16" s="39"/>
      <c r="Q16" s="39">
        <f t="shared" si="4"/>
        <v>0</v>
      </c>
      <c r="R16" s="39"/>
      <c r="S16" s="39"/>
      <c r="T16" s="39">
        <f t="shared" si="5"/>
        <v>0</v>
      </c>
      <c r="U16" s="39">
        <f>607167+17149</f>
        <v>624316</v>
      </c>
      <c r="V16" s="39"/>
      <c r="W16" s="39">
        <f t="shared" si="6"/>
        <v>624316</v>
      </c>
      <c r="X16" s="39">
        <v>30768</v>
      </c>
      <c r="Y16" s="39"/>
      <c r="Z16" s="39">
        <f t="shared" si="7"/>
        <v>30768</v>
      </c>
      <c r="AA16" s="39"/>
      <c r="AB16" s="39"/>
      <c r="AC16" s="39">
        <f t="shared" si="8"/>
        <v>0</v>
      </c>
      <c r="AD16" s="39"/>
      <c r="AE16" s="39"/>
      <c r="AF16" s="39">
        <f t="shared" si="9"/>
        <v>0</v>
      </c>
      <c r="AG16" s="39"/>
      <c r="AH16" s="39"/>
      <c r="AI16" s="39">
        <f t="shared" si="10"/>
        <v>0</v>
      </c>
      <c r="AJ16" s="39"/>
      <c r="AK16" s="39"/>
      <c r="AL16" s="39">
        <f t="shared" si="11"/>
        <v>0</v>
      </c>
      <c r="AM16" s="39">
        <v>26980</v>
      </c>
      <c r="AN16" s="39">
        <v>8993</v>
      </c>
      <c r="AO16" s="39">
        <f t="shared" si="12"/>
        <v>17987</v>
      </c>
      <c r="AP16" s="39"/>
      <c r="AQ16" s="39"/>
      <c r="AR16" s="39">
        <f t="shared" si="13"/>
        <v>0</v>
      </c>
      <c r="AS16" s="39"/>
      <c r="AT16" s="39"/>
      <c r="AU16" s="39">
        <f t="shared" si="14"/>
        <v>0</v>
      </c>
      <c r="AV16" s="39"/>
      <c r="AW16" s="39"/>
      <c r="AX16" s="39">
        <f t="shared" si="15"/>
        <v>0</v>
      </c>
      <c r="AY16" s="39"/>
      <c r="AZ16" s="39"/>
      <c r="BA16" s="40">
        <f t="shared" si="18"/>
        <v>0</v>
      </c>
      <c r="BB16" s="40"/>
      <c r="BC16" s="40"/>
      <c r="BD16" s="40"/>
      <c r="BE16" s="40"/>
      <c r="BF16" s="55">
        <v>58722</v>
      </c>
      <c r="BG16" s="40">
        <v>69543.94</v>
      </c>
      <c r="BH16" s="40"/>
      <c r="BI16" s="40"/>
      <c r="BJ16" s="40"/>
      <c r="BK16" s="40"/>
      <c r="BL16" s="40">
        <f t="shared" si="2"/>
        <v>128265.94</v>
      </c>
      <c r="BM16" s="40"/>
    </row>
    <row r="17" spans="1:65" ht="13.5" thickBot="1">
      <c r="A17" s="36">
        <v>12</v>
      </c>
      <c r="B17" s="39" t="s">
        <v>32</v>
      </c>
      <c r="C17" s="39">
        <v>291576</v>
      </c>
      <c r="D17" s="39">
        <v>291576</v>
      </c>
      <c r="E17" s="39">
        <f t="shared" si="0"/>
        <v>0</v>
      </c>
      <c r="F17" s="39"/>
      <c r="G17" s="39"/>
      <c r="H17" s="39">
        <f t="shared" si="16"/>
        <v>0</v>
      </c>
      <c r="I17" s="39"/>
      <c r="J17" s="39"/>
      <c r="K17" s="39">
        <f t="shared" si="19"/>
        <v>20007</v>
      </c>
      <c r="L17" s="39"/>
      <c r="M17" s="39"/>
      <c r="N17" s="39">
        <f t="shared" si="17"/>
        <v>0</v>
      </c>
      <c r="O17" s="39"/>
      <c r="P17" s="39"/>
      <c r="Q17" s="39">
        <f t="shared" si="4"/>
        <v>0</v>
      </c>
      <c r="R17" s="39"/>
      <c r="S17" s="39"/>
      <c r="T17" s="39">
        <f t="shared" si="5"/>
        <v>0</v>
      </c>
      <c r="U17" s="39"/>
      <c r="V17" s="39"/>
      <c r="W17" s="39">
        <f t="shared" si="6"/>
        <v>0</v>
      </c>
      <c r="X17" s="39"/>
      <c r="Y17" s="39"/>
      <c r="Z17" s="39">
        <f t="shared" si="7"/>
        <v>0</v>
      </c>
      <c r="AA17" s="39"/>
      <c r="AB17" s="39"/>
      <c r="AC17" s="39">
        <f t="shared" si="8"/>
        <v>0</v>
      </c>
      <c r="AD17" s="39"/>
      <c r="AE17" s="39"/>
      <c r="AF17" s="39">
        <f t="shared" si="9"/>
        <v>0</v>
      </c>
      <c r="AG17" s="39"/>
      <c r="AH17" s="39"/>
      <c r="AI17" s="39">
        <f t="shared" si="10"/>
        <v>0</v>
      </c>
      <c r="AJ17" s="39"/>
      <c r="AK17" s="39"/>
      <c r="AL17" s="39">
        <f t="shared" si="11"/>
        <v>0</v>
      </c>
      <c r="AM17" s="39">
        <v>10641</v>
      </c>
      <c r="AN17" s="39">
        <v>3547</v>
      </c>
      <c r="AO17" s="39">
        <f t="shared" si="12"/>
        <v>7094</v>
      </c>
      <c r="AP17" s="39"/>
      <c r="AQ17" s="39"/>
      <c r="AR17" s="39">
        <f t="shared" si="13"/>
        <v>0</v>
      </c>
      <c r="AS17" s="39"/>
      <c r="AT17" s="39"/>
      <c r="AU17" s="39">
        <f t="shared" si="14"/>
        <v>0</v>
      </c>
      <c r="AV17" s="39"/>
      <c r="AW17" s="39"/>
      <c r="AX17" s="39">
        <f t="shared" si="15"/>
        <v>0</v>
      </c>
      <c r="AY17" s="39"/>
      <c r="AZ17" s="39"/>
      <c r="BA17" s="40">
        <f t="shared" si="18"/>
        <v>0</v>
      </c>
      <c r="BB17" s="40"/>
      <c r="BC17" s="40"/>
      <c r="BD17" s="40"/>
      <c r="BE17" s="40"/>
      <c r="BF17" s="55">
        <v>-202955</v>
      </c>
      <c r="BG17" s="40">
        <v>93185.06</v>
      </c>
      <c r="BH17" s="40"/>
      <c r="BI17" s="40"/>
      <c r="BJ17" s="40"/>
      <c r="BK17" s="40"/>
      <c r="BL17" s="40">
        <f t="shared" si="2"/>
        <v>-109769.94</v>
      </c>
      <c r="BM17" s="40"/>
    </row>
    <row r="18" spans="1:65" ht="13.5" thickBot="1">
      <c r="A18" s="33">
        <v>13</v>
      </c>
      <c r="B18" s="52" t="s">
        <v>33</v>
      </c>
      <c r="C18" s="39">
        <f>84780+5040</f>
        <v>89820</v>
      </c>
      <c r="D18" s="39"/>
      <c r="E18" s="39">
        <f t="shared" si="0"/>
        <v>89820</v>
      </c>
      <c r="F18" s="39"/>
      <c r="G18" s="39"/>
      <c r="H18" s="39">
        <f t="shared" si="16"/>
        <v>0</v>
      </c>
      <c r="I18" s="68"/>
      <c r="J18" s="39"/>
      <c r="K18" s="39">
        <f t="shared" si="19"/>
        <v>0</v>
      </c>
      <c r="L18" s="39">
        <v>8365</v>
      </c>
      <c r="M18" s="39"/>
      <c r="N18" s="39">
        <f t="shared" si="17"/>
        <v>8365</v>
      </c>
      <c r="O18" s="39"/>
      <c r="P18" s="39"/>
      <c r="Q18" s="39">
        <f t="shared" si="4"/>
        <v>0</v>
      </c>
      <c r="R18" s="39">
        <v>25612</v>
      </c>
      <c r="S18" s="39"/>
      <c r="T18" s="39">
        <f t="shared" si="5"/>
        <v>25612</v>
      </c>
      <c r="U18" s="39"/>
      <c r="V18" s="39"/>
      <c r="W18" s="39">
        <f t="shared" si="6"/>
        <v>0</v>
      </c>
      <c r="X18" s="39">
        <v>27079</v>
      </c>
      <c r="Y18" s="39"/>
      <c r="Z18" s="39">
        <f t="shared" si="7"/>
        <v>27079</v>
      </c>
      <c r="AA18" s="39"/>
      <c r="AB18" s="39"/>
      <c r="AC18" s="39">
        <f t="shared" si="8"/>
        <v>0</v>
      </c>
      <c r="AD18" s="39"/>
      <c r="AE18" s="39"/>
      <c r="AF18" s="39">
        <f t="shared" si="9"/>
        <v>0</v>
      </c>
      <c r="AG18" s="39"/>
      <c r="AH18" s="39"/>
      <c r="AI18" s="39">
        <f t="shared" si="10"/>
        <v>0</v>
      </c>
      <c r="AJ18" s="39"/>
      <c r="AK18" s="39"/>
      <c r="AL18" s="39">
        <f t="shared" si="11"/>
        <v>0</v>
      </c>
      <c r="AM18" s="39">
        <v>12486</v>
      </c>
      <c r="AN18" s="39">
        <v>4161</v>
      </c>
      <c r="AO18" s="39">
        <f t="shared" si="12"/>
        <v>8325</v>
      </c>
      <c r="AP18" s="39"/>
      <c r="AQ18" s="39"/>
      <c r="AR18" s="39">
        <f t="shared" si="13"/>
        <v>0</v>
      </c>
      <c r="AS18" s="39">
        <v>91332</v>
      </c>
      <c r="AT18" s="39"/>
      <c r="AU18" s="39">
        <f t="shared" si="14"/>
        <v>91332</v>
      </c>
      <c r="AV18" s="39"/>
      <c r="AW18" s="39"/>
      <c r="AX18" s="39">
        <f t="shared" si="15"/>
        <v>0</v>
      </c>
      <c r="AY18" s="39"/>
      <c r="AZ18" s="39"/>
      <c r="BA18" s="40">
        <f t="shared" si="18"/>
        <v>0</v>
      </c>
      <c r="BB18" s="40"/>
      <c r="BC18" s="40"/>
      <c r="BD18" s="40"/>
      <c r="BE18" s="40"/>
      <c r="BF18" s="55">
        <v>30796</v>
      </c>
      <c r="BG18" s="40">
        <v>83694.74</v>
      </c>
      <c r="BH18" s="40">
        <v>45125.09</v>
      </c>
      <c r="BI18" s="40">
        <v>546.84</v>
      </c>
      <c r="BJ18" s="40"/>
      <c r="BK18" s="40"/>
      <c r="BL18" s="40">
        <f t="shared" si="2"/>
        <v>160162.67</v>
      </c>
      <c r="BM18" s="40"/>
    </row>
    <row r="19" spans="1:65" ht="13.5" thickBot="1">
      <c r="A19" s="36">
        <v>14</v>
      </c>
      <c r="B19" s="39" t="s">
        <v>34</v>
      </c>
      <c r="C19" s="39"/>
      <c r="D19" s="39"/>
      <c r="E19" s="39">
        <f t="shared" si="0"/>
        <v>0</v>
      </c>
      <c r="F19" s="39"/>
      <c r="G19" s="39"/>
      <c r="H19" s="39">
        <f t="shared" si="16"/>
        <v>0</v>
      </c>
      <c r="J19" s="39"/>
      <c r="K19" s="39">
        <f t="shared" si="19"/>
        <v>6669</v>
      </c>
      <c r="L19" s="39"/>
      <c r="M19" s="39"/>
      <c r="N19" s="39">
        <f t="shared" si="17"/>
        <v>0</v>
      </c>
      <c r="O19" s="39"/>
      <c r="P19" s="39"/>
      <c r="Q19" s="39">
        <f t="shared" si="4"/>
        <v>0</v>
      </c>
      <c r="R19" s="39"/>
      <c r="S19" s="39"/>
      <c r="T19" s="39">
        <f t="shared" si="5"/>
        <v>0</v>
      </c>
      <c r="U19" s="39"/>
      <c r="V19" s="39"/>
      <c r="W19" s="39">
        <f t="shared" si="6"/>
        <v>0</v>
      </c>
      <c r="X19" s="39"/>
      <c r="Y19" s="39"/>
      <c r="Z19" s="39">
        <f t="shared" si="7"/>
        <v>0</v>
      </c>
      <c r="AA19" s="39"/>
      <c r="AB19" s="39"/>
      <c r="AC19" s="39">
        <f t="shared" si="8"/>
        <v>0</v>
      </c>
      <c r="AD19" s="39"/>
      <c r="AE19" s="39"/>
      <c r="AF19" s="39">
        <f t="shared" si="9"/>
        <v>0</v>
      </c>
      <c r="AG19" s="39"/>
      <c r="AH19" s="39"/>
      <c r="AI19" s="39">
        <f t="shared" si="10"/>
        <v>0</v>
      </c>
      <c r="AJ19" s="39"/>
      <c r="AK19" s="39"/>
      <c r="AL19" s="39">
        <f t="shared" si="11"/>
        <v>0</v>
      </c>
      <c r="AM19" s="39">
        <v>7721</v>
      </c>
      <c r="AN19" s="39">
        <v>2574</v>
      </c>
      <c r="AO19" s="39">
        <f t="shared" si="12"/>
        <v>5147</v>
      </c>
      <c r="AP19" s="39"/>
      <c r="AQ19" s="39"/>
      <c r="AR19" s="39">
        <f t="shared" si="13"/>
        <v>0</v>
      </c>
      <c r="AS19" s="39"/>
      <c r="AT19" s="39"/>
      <c r="AU19" s="39">
        <f t="shared" si="14"/>
        <v>0</v>
      </c>
      <c r="AV19" s="39"/>
      <c r="AW19" s="39"/>
      <c r="AX19" s="39">
        <f t="shared" si="15"/>
        <v>0</v>
      </c>
      <c r="AY19" s="39"/>
      <c r="AZ19" s="39"/>
      <c r="BA19" s="40">
        <f t="shared" si="18"/>
        <v>0</v>
      </c>
      <c r="BB19" s="40"/>
      <c r="BC19" s="40"/>
      <c r="BD19" s="40"/>
      <c r="BE19" s="40"/>
      <c r="BF19" s="55">
        <v>22987</v>
      </c>
      <c r="BG19" s="40">
        <v>46874.77</v>
      </c>
      <c r="BH19" s="40"/>
      <c r="BI19" s="40"/>
      <c r="BJ19" s="40"/>
      <c r="BK19" s="40"/>
      <c r="BL19" s="40">
        <f t="shared" si="2"/>
        <v>69861.76999999999</v>
      </c>
      <c r="BM19" s="40"/>
    </row>
    <row r="20" spans="1:65" ht="13.5" thickBot="1">
      <c r="A20" s="33">
        <v>15</v>
      </c>
      <c r="B20" s="52" t="s">
        <v>35</v>
      </c>
      <c r="C20" s="39">
        <v>3150</v>
      </c>
      <c r="D20" s="39"/>
      <c r="E20" s="39">
        <f t="shared" si="0"/>
        <v>3150</v>
      </c>
      <c r="F20" s="39"/>
      <c r="G20" s="39"/>
      <c r="H20" s="39">
        <f t="shared" si="16"/>
        <v>0</v>
      </c>
      <c r="I20" s="39"/>
      <c r="J20" s="39"/>
      <c r="K20" s="39">
        <f t="shared" si="19"/>
        <v>40014</v>
      </c>
      <c r="L20" s="39"/>
      <c r="M20" s="39"/>
      <c r="N20" s="39">
        <f t="shared" si="17"/>
        <v>0</v>
      </c>
      <c r="O20" s="39"/>
      <c r="P20" s="39"/>
      <c r="Q20" s="39">
        <f t="shared" si="4"/>
        <v>0</v>
      </c>
      <c r="R20" s="39"/>
      <c r="S20" s="39"/>
      <c r="T20" s="39">
        <f t="shared" si="5"/>
        <v>0</v>
      </c>
      <c r="U20" s="39"/>
      <c r="V20" s="39"/>
      <c r="W20" s="39">
        <f t="shared" si="6"/>
        <v>0</v>
      </c>
      <c r="X20" s="39"/>
      <c r="Y20" s="39"/>
      <c r="Z20" s="39">
        <f t="shared" si="7"/>
        <v>0</v>
      </c>
      <c r="AA20" s="39"/>
      <c r="AB20" s="39"/>
      <c r="AC20" s="39">
        <f t="shared" si="8"/>
        <v>0</v>
      </c>
      <c r="AD20" s="39">
        <v>116380</v>
      </c>
      <c r="AE20" s="39">
        <v>116380</v>
      </c>
      <c r="AF20" s="39">
        <f t="shared" si="9"/>
        <v>0</v>
      </c>
      <c r="AG20" s="39"/>
      <c r="AH20" s="39"/>
      <c r="AI20" s="39">
        <f t="shared" si="10"/>
        <v>0</v>
      </c>
      <c r="AJ20" s="39"/>
      <c r="AK20" s="39"/>
      <c r="AL20" s="39">
        <f t="shared" si="11"/>
        <v>0</v>
      </c>
      <c r="AM20" s="39">
        <v>11227</v>
      </c>
      <c r="AN20" s="39">
        <v>3742</v>
      </c>
      <c r="AO20" s="39">
        <f t="shared" si="12"/>
        <v>7485</v>
      </c>
      <c r="AP20" s="39"/>
      <c r="AQ20" s="39"/>
      <c r="AR20" s="39">
        <f t="shared" si="13"/>
        <v>0</v>
      </c>
      <c r="AS20" s="39"/>
      <c r="AT20" s="39"/>
      <c r="AU20" s="39">
        <f t="shared" si="14"/>
        <v>0</v>
      </c>
      <c r="AV20" s="39"/>
      <c r="AW20" s="39"/>
      <c r="AX20" s="39">
        <f t="shared" si="15"/>
        <v>0</v>
      </c>
      <c r="AY20" s="39"/>
      <c r="AZ20" s="39"/>
      <c r="BA20" s="40">
        <f t="shared" si="18"/>
        <v>0</v>
      </c>
      <c r="BB20" s="40"/>
      <c r="BC20" s="40"/>
      <c r="BD20" s="40"/>
      <c r="BE20" s="40"/>
      <c r="BF20" s="55">
        <v>-363593</v>
      </c>
      <c r="BG20" s="40">
        <v>94269.92</v>
      </c>
      <c r="BH20" s="40"/>
      <c r="BI20" s="40"/>
      <c r="BJ20" s="40">
        <v>699569.14</v>
      </c>
      <c r="BK20" s="40"/>
      <c r="BL20" s="40">
        <f t="shared" si="2"/>
        <v>430246.06</v>
      </c>
      <c r="BM20" s="40"/>
    </row>
    <row r="21" spans="1:65" ht="13.5" thickBot="1">
      <c r="A21" s="36">
        <v>16</v>
      </c>
      <c r="B21" s="39" t="s">
        <v>36</v>
      </c>
      <c r="C21" s="39"/>
      <c r="D21" s="39"/>
      <c r="E21" s="39">
        <f t="shared" si="0"/>
        <v>0</v>
      </c>
      <c r="F21" s="39"/>
      <c r="G21" s="39"/>
      <c r="H21" s="39">
        <f t="shared" si="16"/>
        <v>0</v>
      </c>
      <c r="J21" s="51"/>
      <c r="K21" s="39">
        <f t="shared" si="19"/>
        <v>0</v>
      </c>
      <c r="L21" s="39"/>
      <c r="M21" s="39"/>
      <c r="N21" s="39">
        <f t="shared" si="17"/>
        <v>0</v>
      </c>
      <c r="O21" s="39"/>
      <c r="P21" s="39"/>
      <c r="Q21" s="39">
        <f t="shared" si="4"/>
        <v>0</v>
      </c>
      <c r="R21" s="39"/>
      <c r="S21" s="39"/>
      <c r="T21" s="39">
        <f t="shared" si="5"/>
        <v>0</v>
      </c>
      <c r="U21" s="39">
        <f>76154+187248</f>
        <v>263402</v>
      </c>
      <c r="V21" s="39"/>
      <c r="W21" s="39">
        <f t="shared" si="6"/>
        <v>263402</v>
      </c>
      <c r="X21" s="39"/>
      <c r="Y21" s="39"/>
      <c r="Z21" s="39">
        <f t="shared" si="7"/>
        <v>0</v>
      </c>
      <c r="AA21" s="39"/>
      <c r="AB21" s="39"/>
      <c r="AC21" s="39">
        <f t="shared" si="8"/>
        <v>0</v>
      </c>
      <c r="AD21" s="39"/>
      <c r="AE21" s="39"/>
      <c r="AF21" s="39">
        <f t="shared" si="9"/>
        <v>0</v>
      </c>
      <c r="AG21" s="39"/>
      <c r="AH21" s="39"/>
      <c r="AI21" s="39">
        <f t="shared" si="10"/>
        <v>0</v>
      </c>
      <c r="AJ21" s="39"/>
      <c r="AK21" s="39"/>
      <c r="AL21" s="39">
        <f t="shared" si="11"/>
        <v>0</v>
      </c>
      <c r="AM21" s="39">
        <v>8836</v>
      </c>
      <c r="AN21" s="39">
        <v>2945</v>
      </c>
      <c r="AO21" s="39">
        <f t="shared" si="12"/>
        <v>5891</v>
      </c>
      <c r="AP21" s="39"/>
      <c r="AQ21" s="39"/>
      <c r="AR21" s="39">
        <f t="shared" si="13"/>
        <v>0</v>
      </c>
      <c r="AS21" s="39"/>
      <c r="AT21" s="39"/>
      <c r="AU21" s="39">
        <f t="shared" si="14"/>
        <v>0</v>
      </c>
      <c r="AV21" s="39"/>
      <c r="AW21" s="39"/>
      <c r="AX21" s="39">
        <f t="shared" si="15"/>
        <v>0</v>
      </c>
      <c r="AY21" s="39"/>
      <c r="AZ21" s="39"/>
      <c r="BA21" s="40">
        <f t="shared" si="18"/>
        <v>0</v>
      </c>
      <c r="BB21" s="40"/>
      <c r="BC21" s="40"/>
      <c r="BD21" s="40"/>
      <c r="BE21" s="40"/>
      <c r="BF21" s="55">
        <v>31202</v>
      </c>
      <c r="BG21" s="40">
        <v>46045.69</v>
      </c>
      <c r="BH21" s="40"/>
      <c r="BI21" s="40"/>
      <c r="BJ21" s="40"/>
      <c r="BK21" s="40"/>
      <c r="BL21" s="40">
        <f t="shared" si="2"/>
        <v>77247.69</v>
      </c>
      <c r="BM21" s="40"/>
    </row>
    <row r="22" spans="1:65" ht="13.5" thickBot="1">
      <c r="A22" s="33">
        <v>17</v>
      </c>
      <c r="B22" s="52" t="s">
        <v>37</v>
      </c>
      <c r="C22" s="69"/>
      <c r="D22" s="69"/>
      <c r="E22" s="69">
        <f t="shared" si="0"/>
        <v>0</v>
      </c>
      <c r="F22" s="39"/>
      <c r="G22" s="39"/>
      <c r="H22" s="39">
        <f t="shared" si="16"/>
        <v>0</v>
      </c>
      <c r="I22" s="39"/>
      <c r="J22" s="39"/>
      <c r="K22" s="39">
        <f t="shared" si="19"/>
        <v>20007</v>
      </c>
      <c r="L22" s="39"/>
      <c r="M22" s="39"/>
      <c r="N22" s="39">
        <f t="shared" si="17"/>
        <v>0</v>
      </c>
      <c r="O22" s="39"/>
      <c r="P22" s="39"/>
      <c r="Q22" s="39">
        <f t="shared" si="4"/>
        <v>0</v>
      </c>
      <c r="R22" s="39"/>
      <c r="S22" s="39"/>
      <c r="T22" s="39">
        <f t="shared" si="5"/>
        <v>0</v>
      </c>
      <c r="U22" s="39">
        <f>187248+62582</f>
        <v>249830</v>
      </c>
      <c r="V22" s="39"/>
      <c r="W22" s="39">
        <f t="shared" si="6"/>
        <v>249830</v>
      </c>
      <c r="X22" s="39"/>
      <c r="Y22" s="39"/>
      <c r="Z22" s="39">
        <f t="shared" si="7"/>
        <v>0</v>
      </c>
      <c r="AA22" s="39"/>
      <c r="AB22" s="39"/>
      <c r="AC22" s="39">
        <f t="shared" si="8"/>
        <v>0</v>
      </c>
      <c r="AD22" s="39"/>
      <c r="AE22" s="39"/>
      <c r="AF22" s="39">
        <f t="shared" si="9"/>
        <v>0</v>
      </c>
      <c r="AG22" s="39"/>
      <c r="AH22" s="39"/>
      <c r="AI22" s="39">
        <f t="shared" si="10"/>
        <v>0</v>
      </c>
      <c r="AJ22" s="39"/>
      <c r="AK22" s="39"/>
      <c r="AL22" s="39">
        <f t="shared" si="11"/>
        <v>0</v>
      </c>
      <c r="AM22" s="39">
        <v>15687</v>
      </c>
      <c r="AN22" s="39">
        <v>5229</v>
      </c>
      <c r="AO22" s="39">
        <f t="shared" si="12"/>
        <v>10458</v>
      </c>
      <c r="AP22" s="39"/>
      <c r="AQ22" s="39"/>
      <c r="AR22" s="39">
        <f t="shared" si="13"/>
        <v>0</v>
      </c>
      <c r="AS22" s="39"/>
      <c r="AT22" s="39"/>
      <c r="AU22" s="39">
        <f t="shared" si="14"/>
        <v>0</v>
      </c>
      <c r="AV22" s="39"/>
      <c r="AW22" s="39"/>
      <c r="AX22" s="39">
        <f t="shared" si="15"/>
        <v>0</v>
      </c>
      <c r="AY22" s="39"/>
      <c r="AZ22" s="39"/>
      <c r="BA22" s="40">
        <f t="shared" si="18"/>
        <v>0</v>
      </c>
      <c r="BB22" s="40">
        <v>54910</v>
      </c>
      <c r="BC22" s="40"/>
      <c r="BD22" s="40"/>
      <c r="BE22" s="40"/>
      <c r="BF22" s="55">
        <v>19324</v>
      </c>
      <c r="BG22" s="40">
        <v>47779.7</v>
      </c>
      <c r="BH22" s="40"/>
      <c r="BI22" s="40"/>
      <c r="BJ22" s="40"/>
      <c r="BK22" s="40"/>
      <c r="BL22" s="40">
        <f t="shared" si="2"/>
        <v>67103.7</v>
      </c>
      <c r="BM22" s="40"/>
    </row>
    <row r="23" spans="1:65" ht="13.5" thickBot="1">
      <c r="A23" s="36">
        <v>18</v>
      </c>
      <c r="B23" s="39" t="s">
        <v>38</v>
      </c>
      <c r="C23" s="68">
        <v>5250</v>
      </c>
      <c r="D23" s="68"/>
      <c r="E23" s="68">
        <f t="shared" si="0"/>
        <v>5250</v>
      </c>
      <c r="F23" s="39"/>
      <c r="G23" s="39"/>
      <c r="H23" s="39">
        <f t="shared" si="16"/>
        <v>0</v>
      </c>
      <c r="J23" s="68"/>
      <c r="K23" s="39">
        <f t="shared" si="19"/>
        <v>20007</v>
      </c>
      <c r="L23" s="39"/>
      <c r="M23" s="39"/>
      <c r="N23" s="39">
        <f t="shared" si="17"/>
        <v>0</v>
      </c>
      <c r="O23" s="39"/>
      <c r="P23" s="39"/>
      <c r="Q23" s="39">
        <f t="shared" si="4"/>
        <v>0</v>
      </c>
      <c r="R23" s="39"/>
      <c r="S23" s="39"/>
      <c r="T23" s="39">
        <f t="shared" si="5"/>
        <v>0</v>
      </c>
      <c r="U23" s="39">
        <v>34298</v>
      </c>
      <c r="V23" s="39"/>
      <c r="W23" s="39">
        <f t="shared" si="6"/>
        <v>34298</v>
      </c>
      <c r="X23" s="39">
        <v>28253</v>
      </c>
      <c r="Y23" s="39"/>
      <c r="Z23" s="39">
        <f t="shared" si="7"/>
        <v>28253</v>
      </c>
      <c r="AA23" s="39"/>
      <c r="AB23" s="39"/>
      <c r="AC23" s="39">
        <f t="shared" si="8"/>
        <v>0</v>
      </c>
      <c r="AD23" s="39"/>
      <c r="AE23" s="39"/>
      <c r="AF23" s="39">
        <f t="shared" si="9"/>
        <v>0</v>
      </c>
      <c r="AG23" s="39"/>
      <c r="AH23" s="39"/>
      <c r="AI23" s="39">
        <f t="shared" si="10"/>
        <v>0</v>
      </c>
      <c r="AJ23" s="39"/>
      <c r="AK23" s="39"/>
      <c r="AL23" s="39">
        <f t="shared" si="11"/>
        <v>0</v>
      </c>
      <c r="AM23" s="39">
        <v>16528</v>
      </c>
      <c r="AN23" s="39">
        <v>5509</v>
      </c>
      <c r="AO23" s="39">
        <f t="shared" si="12"/>
        <v>11019</v>
      </c>
      <c r="AP23" s="39"/>
      <c r="AQ23" s="39"/>
      <c r="AR23" s="39">
        <f t="shared" si="13"/>
        <v>0</v>
      </c>
      <c r="AS23" s="39"/>
      <c r="AT23" s="39"/>
      <c r="AU23" s="39">
        <f t="shared" si="14"/>
        <v>0</v>
      </c>
      <c r="AV23" s="39"/>
      <c r="AW23" s="39"/>
      <c r="AX23" s="39">
        <f t="shared" si="15"/>
        <v>0</v>
      </c>
      <c r="AY23" s="39"/>
      <c r="AZ23" s="39"/>
      <c r="BA23" s="40">
        <f t="shared" si="18"/>
        <v>0</v>
      </c>
      <c r="BB23" s="40"/>
      <c r="BC23" s="40"/>
      <c r="BD23" s="40"/>
      <c r="BE23" s="40"/>
      <c r="BF23" s="55">
        <v>90042</v>
      </c>
      <c r="BG23" s="40">
        <v>91287</v>
      </c>
      <c r="BH23" s="40"/>
      <c r="BI23" s="40"/>
      <c r="BJ23" s="40"/>
      <c r="BK23" s="40"/>
      <c r="BL23" s="40">
        <f t="shared" si="2"/>
        <v>181329</v>
      </c>
      <c r="BM23" s="40"/>
    </row>
    <row r="24" spans="1:65" ht="13.5" thickBot="1">
      <c r="A24" s="33">
        <v>19</v>
      </c>
      <c r="B24" s="52" t="s">
        <v>39</v>
      </c>
      <c r="C24" s="39"/>
      <c r="D24" s="39"/>
      <c r="E24" s="39">
        <f t="shared" si="0"/>
        <v>0</v>
      </c>
      <c r="F24" s="39"/>
      <c r="G24" s="39"/>
      <c r="H24" s="39">
        <f t="shared" si="16"/>
        <v>0</v>
      </c>
      <c r="I24" s="39">
        <v>20007</v>
      </c>
      <c r="J24" s="39"/>
      <c r="K24" s="39">
        <f t="shared" si="19"/>
        <v>20007</v>
      </c>
      <c r="L24" s="39">
        <v>8365</v>
      </c>
      <c r="M24" s="39"/>
      <c r="N24" s="39">
        <f t="shared" si="17"/>
        <v>8365</v>
      </c>
      <c r="O24" s="39"/>
      <c r="P24" s="39"/>
      <c r="Q24" s="39">
        <f t="shared" si="4"/>
        <v>0</v>
      </c>
      <c r="R24" s="39"/>
      <c r="S24" s="39"/>
      <c r="T24" s="39">
        <f t="shared" si="5"/>
        <v>0</v>
      </c>
      <c r="U24" s="39">
        <f>17149+343689</f>
        <v>360838</v>
      </c>
      <c r="V24" s="39"/>
      <c r="W24" s="39">
        <f t="shared" si="6"/>
        <v>360838</v>
      </c>
      <c r="X24" s="39">
        <v>41024</v>
      </c>
      <c r="Y24" s="39"/>
      <c r="Z24" s="39">
        <f t="shared" si="7"/>
        <v>41024</v>
      </c>
      <c r="AA24" s="39"/>
      <c r="AB24" s="39"/>
      <c r="AC24" s="39">
        <f t="shared" si="8"/>
        <v>0</v>
      </c>
      <c r="AD24" s="39">
        <v>9240</v>
      </c>
      <c r="AE24" s="39">
        <v>9240</v>
      </c>
      <c r="AF24" s="39">
        <f t="shared" si="9"/>
        <v>0</v>
      </c>
      <c r="AG24" s="39"/>
      <c r="AH24" s="39"/>
      <c r="AI24" s="39">
        <f t="shared" si="10"/>
        <v>0</v>
      </c>
      <c r="AJ24" s="39"/>
      <c r="AK24" s="39"/>
      <c r="AL24" s="39">
        <f t="shared" si="11"/>
        <v>0</v>
      </c>
      <c r="AM24" s="39">
        <v>32207</v>
      </c>
      <c r="AN24" s="39">
        <v>10736</v>
      </c>
      <c r="AO24" s="39">
        <f t="shared" si="12"/>
        <v>21471</v>
      </c>
      <c r="AP24" s="39"/>
      <c r="AQ24" s="39"/>
      <c r="AR24" s="39">
        <f t="shared" si="13"/>
        <v>0</v>
      </c>
      <c r="AS24" s="39"/>
      <c r="AT24" s="39"/>
      <c r="AU24" s="39">
        <f t="shared" si="14"/>
        <v>0</v>
      </c>
      <c r="AV24" s="39"/>
      <c r="AW24" s="39"/>
      <c r="AX24" s="39">
        <f t="shared" si="15"/>
        <v>0</v>
      </c>
      <c r="AY24" s="39"/>
      <c r="AZ24" s="39"/>
      <c r="BA24" s="40">
        <f t="shared" si="18"/>
        <v>0</v>
      </c>
      <c r="BB24" s="40"/>
      <c r="BC24" s="40"/>
      <c r="BD24" s="40"/>
      <c r="BE24" s="40"/>
      <c r="BF24" s="55">
        <v>-161467</v>
      </c>
      <c r="BG24" s="40">
        <v>90840.71</v>
      </c>
      <c r="BH24" s="40"/>
      <c r="BI24" s="40"/>
      <c r="BJ24" s="40"/>
      <c r="BK24" s="40"/>
      <c r="BL24" s="40">
        <f t="shared" si="2"/>
        <v>-70626.29</v>
      </c>
      <c r="BM24" s="40"/>
    </row>
    <row r="25" spans="1:65" ht="13.5" thickBot="1">
      <c r="A25" s="36">
        <v>20</v>
      </c>
      <c r="B25" s="39" t="s">
        <v>40</v>
      </c>
      <c r="C25" s="39">
        <v>11517</v>
      </c>
      <c r="D25" s="39"/>
      <c r="E25" s="39">
        <f t="shared" si="0"/>
        <v>11517</v>
      </c>
      <c r="F25" s="39"/>
      <c r="G25" s="39"/>
      <c r="H25" s="39">
        <f t="shared" si="16"/>
        <v>0</v>
      </c>
      <c r="I25" s="39"/>
      <c r="J25" s="39"/>
      <c r="K25" s="39">
        <f t="shared" si="19"/>
        <v>0</v>
      </c>
      <c r="L25" s="39"/>
      <c r="M25" s="39"/>
      <c r="N25" s="39">
        <f t="shared" si="17"/>
        <v>0</v>
      </c>
      <c r="O25" s="39"/>
      <c r="P25" s="39"/>
      <c r="Q25" s="39">
        <f t="shared" si="4"/>
        <v>0</v>
      </c>
      <c r="R25" s="39"/>
      <c r="S25" s="39"/>
      <c r="T25" s="39">
        <f t="shared" si="5"/>
        <v>0</v>
      </c>
      <c r="U25" s="39">
        <f>196174+17149</f>
        <v>213323</v>
      </c>
      <c r="V25" s="39"/>
      <c r="W25" s="39">
        <f t="shared" si="6"/>
        <v>213323</v>
      </c>
      <c r="X25" s="39">
        <v>35896</v>
      </c>
      <c r="Y25" s="39"/>
      <c r="Z25" s="39">
        <f t="shared" si="7"/>
        <v>35896</v>
      </c>
      <c r="AA25" s="39"/>
      <c r="AB25" s="39"/>
      <c r="AC25" s="39">
        <f t="shared" si="8"/>
        <v>0</v>
      </c>
      <c r="AD25" s="39"/>
      <c r="AE25" s="39"/>
      <c r="AF25" s="39">
        <f t="shared" si="9"/>
        <v>0</v>
      </c>
      <c r="AG25" s="39"/>
      <c r="AH25" s="39"/>
      <c r="AI25" s="39">
        <f t="shared" si="10"/>
        <v>0</v>
      </c>
      <c r="AJ25" s="39"/>
      <c r="AK25" s="39"/>
      <c r="AL25" s="39">
        <f t="shared" si="11"/>
        <v>0</v>
      </c>
      <c r="AM25" s="39">
        <v>43577</v>
      </c>
      <c r="AN25" s="39">
        <v>14526</v>
      </c>
      <c r="AO25" s="39">
        <f t="shared" si="12"/>
        <v>29051</v>
      </c>
      <c r="AP25" s="39"/>
      <c r="AQ25" s="39"/>
      <c r="AR25" s="39">
        <f t="shared" si="13"/>
        <v>0</v>
      </c>
      <c r="AS25" s="39"/>
      <c r="AT25" s="39"/>
      <c r="AU25" s="39">
        <f t="shared" si="14"/>
        <v>0</v>
      </c>
      <c r="AV25" s="39"/>
      <c r="AW25" s="39"/>
      <c r="AX25" s="39">
        <f t="shared" si="15"/>
        <v>0</v>
      </c>
      <c r="AY25" s="39"/>
      <c r="AZ25" s="39"/>
      <c r="BA25" s="40">
        <f t="shared" si="18"/>
        <v>0</v>
      </c>
      <c r="BB25" s="40"/>
      <c r="BC25" s="40"/>
      <c r="BD25" s="40"/>
      <c r="BE25" s="40"/>
      <c r="BF25" s="55">
        <v>-38786</v>
      </c>
      <c r="BG25" s="40">
        <v>101689.31</v>
      </c>
      <c r="BH25" s="40"/>
      <c r="BI25" s="40">
        <v>157</v>
      </c>
      <c r="BJ25" s="40"/>
      <c r="BK25" s="40"/>
      <c r="BL25" s="40">
        <f t="shared" si="2"/>
        <v>63060.31</v>
      </c>
      <c r="BM25" s="40"/>
    </row>
    <row r="26" spans="1:65" ht="13.5" thickBot="1">
      <c r="A26" s="33">
        <v>21</v>
      </c>
      <c r="B26" s="52" t="s">
        <v>41</v>
      </c>
      <c r="C26" s="39">
        <v>4095</v>
      </c>
      <c r="D26" s="39"/>
      <c r="E26" s="39">
        <f t="shared" si="0"/>
        <v>4095</v>
      </c>
      <c r="F26" s="39">
        <v>17976</v>
      </c>
      <c r="G26" s="39">
        <v>17976</v>
      </c>
      <c r="H26" s="39">
        <f t="shared" si="16"/>
        <v>0</v>
      </c>
      <c r="I26" s="39"/>
      <c r="J26" s="39"/>
      <c r="K26" s="39">
        <f t="shared" si="19"/>
        <v>0</v>
      </c>
      <c r="L26" s="39">
        <v>25095</v>
      </c>
      <c r="M26" s="39"/>
      <c r="N26" s="39">
        <f t="shared" si="17"/>
        <v>25095</v>
      </c>
      <c r="O26" s="39"/>
      <c r="P26" s="39"/>
      <c r="Q26" s="39">
        <f t="shared" si="4"/>
        <v>0</v>
      </c>
      <c r="R26" s="39"/>
      <c r="S26" s="39"/>
      <c r="T26" s="39">
        <f t="shared" si="5"/>
        <v>0</v>
      </c>
      <c r="U26" s="39"/>
      <c r="V26" s="39"/>
      <c r="W26" s="39">
        <f t="shared" si="6"/>
        <v>0</v>
      </c>
      <c r="X26" s="39">
        <v>41024</v>
      </c>
      <c r="Y26" s="39"/>
      <c r="Z26" s="39">
        <f t="shared" si="7"/>
        <v>41024</v>
      </c>
      <c r="AA26" s="39"/>
      <c r="AB26" s="39"/>
      <c r="AC26" s="39">
        <f t="shared" si="8"/>
        <v>0</v>
      </c>
      <c r="AD26" s="39"/>
      <c r="AE26" s="39"/>
      <c r="AF26" s="39">
        <f t="shared" si="9"/>
        <v>0</v>
      </c>
      <c r="AG26" s="39"/>
      <c r="AH26" s="39"/>
      <c r="AI26" s="39">
        <f t="shared" si="10"/>
        <v>0</v>
      </c>
      <c r="AJ26" s="39"/>
      <c r="AK26" s="39"/>
      <c r="AL26" s="39">
        <f t="shared" si="11"/>
        <v>0</v>
      </c>
      <c r="AM26" s="39">
        <v>21357</v>
      </c>
      <c r="AN26" s="39">
        <v>7119</v>
      </c>
      <c r="AO26" s="39">
        <f t="shared" si="12"/>
        <v>14238</v>
      </c>
      <c r="AP26" s="39"/>
      <c r="AQ26" s="39"/>
      <c r="AR26" s="39">
        <f t="shared" si="13"/>
        <v>0</v>
      </c>
      <c r="AS26" s="39"/>
      <c r="AT26" s="39"/>
      <c r="AU26" s="39">
        <f t="shared" si="14"/>
        <v>0</v>
      </c>
      <c r="AV26" s="39"/>
      <c r="AW26" s="39"/>
      <c r="AX26" s="39">
        <f t="shared" si="15"/>
        <v>0</v>
      </c>
      <c r="AY26" s="39"/>
      <c r="AZ26" s="39"/>
      <c r="BA26" s="40">
        <f t="shared" si="18"/>
        <v>0</v>
      </c>
      <c r="BB26" s="40"/>
      <c r="BC26" s="40"/>
      <c r="BD26" s="40"/>
      <c r="BE26" s="40"/>
      <c r="BF26" s="55">
        <v>8192</v>
      </c>
      <c r="BG26" s="40">
        <v>106353.5</v>
      </c>
      <c r="BH26" s="40"/>
      <c r="BI26" s="40"/>
      <c r="BJ26" s="40">
        <v>81956.66</v>
      </c>
      <c r="BK26" s="40"/>
      <c r="BL26" s="40">
        <f t="shared" si="2"/>
        <v>196502.16</v>
      </c>
      <c r="BM26" s="40"/>
    </row>
    <row r="27" spans="1:65" ht="13.5" thickBot="1">
      <c r="A27" s="36">
        <v>22</v>
      </c>
      <c r="B27" s="39" t="s">
        <v>42</v>
      </c>
      <c r="C27" s="39">
        <v>11760</v>
      </c>
      <c r="D27" s="39"/>
      <c r="E27" s="39">
        <f t="shared" si="0"/>
        <v>11760</v>
      </c>
      <c r="F27" s="39">
        <v>51484</v>
      </c>
      <c r="G27" s="39">
        <v>51484</v>
      </c>
      <c r="H27" s="39">
        <f t="shared" si="16"/>
        <v>0</v>
      </c>
      <c r="I27" s="39">
        <v>20007</v>
      </c>
      <c r="J27" s="39"/>
      <c r="K27" s="39">
        <f t="shared" si="19"/>
        <v>0</v>
      </c>
      <c r="L27" s="39">
        <v>25095</v>
      </c>
      <c r="M27" s="39"/>
      <c r="N27" s="39">
        <f t="shared" si="17"/>
        <v>25095</v>
      </c>
      <c r="O27" s="39"/>
      <c r="P27" s="39"/>
      <c r="Q27" s="39">
        <f t="shared" si="4"/>
        <v>0</v>
      </c>
      <c r="R27" s="39"/>
      <c r="S27" s="39"/>
      <c r="T27" s="39">
        <f t="shared" si="5"/>
        <v>0</v>
      </c>
      <c r="U27" s="39"/>
      <c r="V27" s="39"/>
      <c r="W27" s="39">
        <f t="shared" si="6"/>
        <v>0</v>
      </c>
      <c r="X27" s="39">
        <v>30768</v>
      </c>
      <c r="Y27" s="39"/>
      <c r="Z27" s="39">
        <f t="shared" si="7"/>
        <v>30768</v>
      </c>
      <c r="AA27" s="39"/>
      <c r="AB27" s="39"/>
      <c r="AC27" s="39">
        <f t="shared" si="8"/>
        <v>0</v>
      </c>
      <c r="AD27" s="39"/>
      <c r="AE27" s="39"/>
      <c r="AF27" s="39">
        <f t="shared" si="9"/>
        <v>0</v>
      </c>
      <c r="AG27" s="39"/>
      <c r="AH27" s="39"/>
      <c r="AI27" s="39">
        <f t="shared" si="10"/>
        <v>0</v>
      </c>
      <c r="AJ27" s="39"/>
      <c r="AK27" s="39"/>
      <c r="AL27" s="39">
        <f t="shared" si="11"/>
        <v>0</v>
      </c>
      <c r="AM27" s="39">
        <v>30869</v>
      </c>
      <c r="AN27" s="39">
        <v>10290</v>
      </c>
      <c r="AO27" s="39">
        <f t="shared" si="12"/>
        <v>20579</v>
      </c>
      <c r="AP27" s="39"/>
      <c r="AQ27" s="39"/>
      <c r="AR27" s="39">
        <f t="shared" si="13"/>
        <v>0</v>
      </c>
      <c r="AS27" s="39"/>
      <c r="AT27" s="39"/>
      <c r="AU27" s="39">
        <f t="shared" si="14"/>
        <v>0</v>
      </c>
      <c r="AV27" s="39"/>
      <c r="AW27" s="39"/>
      <c r="AX27" s="39">
        <f t="shared" si="15"/>
        <v>0</v>
      </c>
      <c r="AY27" s="39"/>
      <c r="AZ27" s="39"/>
      <c r="BA27" s="40">
        <f t="shared" si="18"/>
        <v>0</v>
      </c>
      <c r="BB27" s="40"/>
      <c r="BC27" s="40"/>
      <c r="BD27" s="40"/>
      <c r="BE27" s="40"/>
      <c r="BF27" s="55">
        <v>49499</v>
      </c>
      <c r="BG27" s="40">
        <v>70473.56</v>
      </c>
      <c r="BH27" s="40"/>
      <c r="BI27" s="40"/>
      <c r="BJ27" s="40"/>
      <c r="BK27" s="40"/>
      <c r="BL27" s="40">
        <f t="shared" si="2"/>
        <v>119972.56</v>
      </c>
      <c r="BM27" s="40"/>
    </row>
    <row r="28" spans="1:65" ht="13.5" thickBot="1">
      <c r="A28" s="33">
        <v>23</v>
      </c>
      <c r="B28" s="52" t="s">
        <v>43</v>
      </c>
      <c r="C28" s="39">
        <v>7140</v>
      </c>
      <c r="D28" s="39"/>
      <c r="E28" s="39">
        <f t="shared" si="0"/>
        <v>7140</v>
      </c>
      <c r="F28" s="39"/>
      <c r="G28" s="39"/>
      <c r="H28" s="39">
        <f t="shared" si="16"/>
        <v>0</v>
      </c>
      <c r="I28" s="39"/>
      <c r="J28" s="39"/>
      <c r="K28" s="40">
        <f t="shared" si="3"/>
        <v>0</v>
      </c>
      <c r="L28" s="39"/>
      <c r="M28" s="39"/>
      <c r="N28" s="39">
        <f t="shared" si="17"/>
        <v>0</v>
      </c>
      <c r="O28" s="39"/>
      <c r="P28" s="39"/>
      <c r="Q28" s="39">
        <f t="shared" si="4"/>
        <v>0</v>
      </c>
      <c r="R28" s="39"/>
      <c r="S28" s="39"/>
      <c r="T28" s="39">
        <f t="shared" si="5"/>
        <v>0</v>
      </c>
      <c r="U28" s="39">
        <v>108536</v>
      </c>
      <c r="V28" s="39"/>
      <c r="W28" s="39">
        <f t="shared" si="6"/>
        <v>108536</v>
      </c>
      <c r="X28" s="39">
        <v>20512</v>
      </c>
      <c r="Y28" s="39"/>
      <c r="Z28" s="39">
        <f t="shared" si="7"/>
        <v>20512</v>
      </c>
      <c r="AA28" s="39"/>
      <c r="AB28" s="39"/>
      <c r="AC28" s="39">
        <f t="shared" si="8"/>
        <v>0</v>
      </c>
      <c r="AD28" s="39">
        <v>91630</v>
      </c>
      <c r="AE28" s="39"/>
      <c r="AF28" s="39">
        <f t="shared" si="9"/>
        <v>91630</v>
      </c>
      <c r="AG28" s="39"/>
      <c r="AH28" s="39"/>
      <c r="AI28" s="39">
        <f t="shared" si="10"/>
        <v>0</v>
      </c>
      <c r="AJ28" s="39"/>
      <c r="AK28" s="39"/>
      <c r="AL28" s="39">
        <f t="shared" si="11"/>
        <v>0</v>
      </c>
      <c r="AM28" s="39">
        <v>10319</v>
      </c>
      <c r="AN28" s="39">
        <v>3440</v>
      </c>
      <c r="AO28" s="39">
        <f t="shared" si="12"/>
        <v>6879</v>
      </c>
      <c r="AP28" s="39"/>
      <c r="AQ28" s="39"/>
      <c r="AR28" s="39">
        <f t="shared" si="13"/>
        <v>0</v>
      </c>
      <c r="AS28" s="39"/>
      <c r="AT28" s="39"/>
      <c r="AU28" s="39">
        <f t="shared" si="14"/>
        <v>0</v>
      </c>
      <c r="AV28" s="39"/>
      <c r="AW28" s="39"/>
      <c r="AX28" s="39">
        <f t="shared" si="15"/>
        <v>0</v>
      </c>
      <c r="AY28" s="39"/>
      <c r="AZ28" s="39"/>
      <c r="BA28" s="40">
        <f t="shared" si="18"/>
        <v>0</v>
      </c>
      <c r="BB28" s="40"/>
      <c r="BC28" s="40"/>
      <c r="BD28" s="40"/>
      <c r="BE28" s="40"/>
      <c r="BF28" s="55">
        <v>8521</v>
      </c>
      <c r="BG28" s="40">
        <v>46036.87</v>
      </c>
      <c r="BH28" s="40"/>
      <c r="BI28" s="40"/>
      <c r="BJ28" s="40"/>
      <c r="BK28" s="40"/>
      <c r="BL28" s="40">
        <f t="shared" si="2"/>
        <v>54557.87</v>
      </c>
      <c r="BM28" s="40"/>
    </row>
    <row r="29" spans="1:65" ht="13.5" thickBot="1">
      <c r="A29" s="36">
        <v>24</v>
      </c>
      <c r="B29" s="39" t="s">
        <v>44</v>
      </c>
      <c r="C29" s="39">
        <v>8610</v>
      </c>
      <c r="D29" s="39"/>
      <c r="E29" s="39">
        <f t="shared" si="0"/>
        <v>8610</v>
      </c>
      <c r="F29" s="39"/>
      <c r="G29" s="39"/>
      <c r="H29" s="39">
        <f t="shared" si="16"/>
        <v>0</v>
      </c>
      <c r="I29" s="39">
        <v>6669</v>
      </c>
      <c r="J29" s="39"/>
      <c r="K29" s="40">
        <f t="shared" si="3"/>
        <v>6669</v>
      </c>
      <c r="L29" s="39"/>
      <c r="M29" s="39"/>
      <c r="N29" s="39">
        <f t="shared" si="17"/>
        <v>0</v>
      </c>
      <c r="O29" s="39"/>
      <c r="P29" s="39"/>
      <c r="Q29" s="39">
        <f t="shared" si="4"/>
        <v>0</v>
      </c>
      <c r="R29" s="39">
        <v>108851</v>
      </c>
      <c r="S29" s="39"/>
      <c r="T29" s="39">
        <f t="shared" si="5"/>
        <v>108851</v>
      </c>
      <c r="U29" s="39">
        <v>58520</v>
      </c>
      <c r="V29" s="39"/>
      <c r="W29" s="39">
        <f t="shared" si="6"/>
        <v>58520</v>
      </c>
      <c r="X29" s="39"/>
      <c r="Y29" s="39"/>
      <c r="Z29" s="39">
        <f t="shared" si="7"/>
        <v>0</v>
      </c>
      <c r="AA29" s="39"/>
      <c r="AB29" s="39"/>
      <c r="AC29" s="39">
        <f t="shared" si="8"/>
        <v>0</v>
      </c>
      <c r="AD29" s="39">
        <v>20020</v>
      </c>
      <c r="AE29" s="39"/>
      <c r="AF29" s="39">
        <f t="shared" si="9"/>
        <v>20020</v>
      </c>
      <c r="AG29" s="39"/>
      <c r="AH29" s="39"/>
      <c r="AI29" s="39">
        <f t="shared" si="10"/>
        <v>0</v>
      </c>
      <c r="AJ29" s="39"/>
      <c r="AK29" s="39"/>
      <c r="AL29" s="39">
        <f t="shared" si="11"/>
        <v>0</v>
      </c>
      <c r="AM29" s="39">
        <v>17350</v>
      </c>
      <c r="AN29" s="39">
        <v>5783</v>
      </c>
      <c r="AO29" s="39">
        <f t="shared" si="12"/>
        <v>11567</v>
      </c>
      <c r="AP29" s="39"/>
      <c r="AQ29" s="39"/>
      <c r="AR29" s="39">
        <f t="shared" si="13"/>
        <v>0</v>
      </c>
      <c r="AS29" s="39"/>
      <c r="AT29" s="39"/>
      <c r="AU29" s="39">
        <f t="shared" si="14"/>
        <v>0</v>
      </c>
      <c r="AV29" s="39"/>
      <c r="AW29" s="39"/>
      <c r="AX29" s="39">
        <f t="shared" si="15"/>
        <v>0</v>
      </c>
      <c r="AY29" s="39"/>
      <c r="AZ29" s="39"/>
      <c r="BA29" s="40">
        <f t="shared" si="18"/>
        <v>0</v>
      </c>
      <c r="BB29" s="40">
        <v>40375</v>
      </c>
      <c r="BC29" s="40"/>
      <c r="BD29" s="40"/>
      <c r="BE29" s="40"/>
      <c r="BF29" s="55">
        <v>75449</v>
      </c>
      <c r="BG29" s="40">
        <v>106723.76</v>
      </c>
      <c r="BH29" s="40"/>
      <c r="BI29" s="40"/>
      <c r="BJ29" s="40"/>
      <c r="BK29" s="40"/>
      <c r="BL29" s="40">
        <f t="shared" si="2"/>
        <v>182172.76</v>
      </c>
      <c r="BM29" s="40"/>
    </row>
    <row r="30" spans="1:65" ht="13.5" thickBot="1">
      <c r="A30" s="33">
        <v>25</v>
      </c>
      <c r="B30" s="52" t="s">
        <v>45</v>
      </c>
      <c r="C30" s="39">
        <v>22890</v>
      </c>
      <c r="D30" s="39"/>
      <c r="E30" s="39">
        <f t="shared" si="0"/>
        <v>22890</v>
      </c>
      <c r="F30" s="39">
        <v>50200</v>
      </c>
      <c r="G30" s="39">
        <v>50200</v>
      </c>
      <c r="H30" s="39">
        <f t="shared" si="16"/>
        <v>0</v>
      </c>
      <c r="I30" s="39">
        <v>40014</v>
      </c>
      <c r="J30" s="39"/>
      <c r="K30" s="40">
        <f t="shared" si="3"/>
        <v>40014</v>
      </c>
      <c r="L30" s="39">
        <v>16730</v>
      </c>
      <c r="M30" s="39"/>
      <c r="N30" s="39">
        <f t="shared" si="17"/>
        <v>16730</v>
      </c>
      <c r="O30" s="39"/>
      <c r="P30" s="39"/>
      <c r="Q30" s="39">
        <f t="shared" si="4"/>
        <v>0</v>
      </c>
      <c r="R30" s="39"/>
      <c r="S30" s="39"/>
      <c r="T30" s="39">
        <f t="shared" si="5"/>
        <v>0</v>
      </c>
      <c r="U30" s="39"/>
      <c r="V30" s="39"/>
      <c r="W30" s="39">
        <f t="shared" si="6"/>
        <v>0</v>
      </c>
      <c r="X30" s="39">
        <v>41024</v>
      </c>
      <c r="Y30" s="39"/>
      <c r="Z30" s="39">
        <f t="shared" si="7"/>
        <v>41024</v>
      </c>
      <c r="AA30" s="39"/>
      <c r="AB30" s="39"/>
      <c r="AC30" s="39">
        <f t="shared" si="8"/>
        <v>0</v>
      </c>
      <c r="AD30" s="39"/>
      <c r="AE30" s="39"/>
      <c r="AF30" s="39">
        <f t="shared" si="9"/>
        <v>0</v>
      </c>
      <c r="AG30" s="39"/>
      <c r="AH30" s="39"/>
      <c r="AI30" s="39">
        <f t="shared" si="10"/>
        <v>0</v>
      </c>
      <c r="AJ30" s="39"/>
      <c r="AK30" s="39"/>
      <c r="AL30" s="39">
        <f t="shared" si="11"/>
        <v>0</v>
      </c>
      <c r="AM30" s="39">
        <v>22472</v>
      </c>
      <c r="AN30" s="39">
        <v>7491</v>
      </c>
      <c r="AO30" s="39">
        <f t="shared" si="12"/>
        <v>14981</v>
      </c>
      <c r="AP30" s="39"/>
      <c r="AQ30" s="39"/>
      <c r="AR30" s="39">
        <f t="shared" si="13"/>
        <v>0</v>
      </c>
      <c r="AS30" s="39"/>
      <c r="AT30" s="39"/>
      <c r="AU30" s="39">
        <f t="shared" si="14"/>
        <v>0</v>
      </c>
      <c r="AV30" s="39"/>
      <c r="AW30" s="39"/>
      <c r="AX30" s="39">
        <f t="shared" si="15"/>
        <v>0</v>
      </c>
      <c r="AY30" s="39"/>
      <c r="AZ30" s="39"/>
      <c r="BA30" s="40">
        <f t="shared" si="18"/>
        <v>0</v>
      </c>
      <c r="BB30" s="40"/>
      <c r="BC30" s="40"/>
      <c r="BD30" s="40"/>
      <c r="BE30" s="40"/>
      <c r="BF30" s="55">
        <v>-32260</v>
      </c>
      <c r="BG30" s="40">
        <v>91588.64</v>
      </c>
      <c r="BH30" s="40"/>
      <c r="BI30" s="40"/>
      <c r="BJ30" s="40"/>
      <c r="BK30" s="40"/>
      <c r="BL30" s="40">
        <f t="shared" si="2"/>
        <v>59328.64</v>
      </c>
      <c r="BM30" s="40"/>
    </row>
    <row r="31" spans="1:65" ht="13.5" thickBot="1">
      <c r="A31" s="36">
        <v>26</v>
      </c>
      <c r="B31" s="64" t="s">
        <v>46</v>
      </c>
      <c r="C31" s="64"/>
      <c r="D31" s="64"/>
      <c r="E31" s="64">
        <f t="shared" si="0"/>
        <v>0</v>
      </c>
      <c r="F31" s="64"/>
      <c r="G31" s="64"/>
      <c r="H31" s="64">
        <f t="shared" si="16"/>
        <v>0</v>
      </c>
      <c r="I31" s="39"/>
      <c r="J31" s="64"/>
      <c r="K31" s="40">
        <f t="shared" si="3"/>
        <v>0</v>
      </c>
      <c r="L31" s="64">
        <v>33460</v>
      </c>
      <c r="M31" s="64">
        <v>33460</v>
      </c>
      <c r="N31" s="64">
        <f t="shared" si="17"/>
        <v>0</v>
      </c>
      <c r="O31" s="64"/>
      <c r="P31" s="64"/>
      <c r="Q31" s="64">
        <f t="shared" si="4"/>
        <v>0</v>
      </c>
      <c r="R31" s="64"/>
      <c r="S31" s="64"/>
      <c r="T31" s="64">
        <f t="shared" si="5"/>
        <v>0</v>
      </c>
      <c r="U31" s="64"/>
      <c r="V31" s="64"/>
      <c r="W31" s="64">
        <f t="shared" si="6"/>
        <v>0</v>
      </c>
      <c r="X31" s="64">
        <v>46152</v>
      </c>
      <c r="Y31" s="64">
        <v>46152</v>
      </c>
      <c r="Z31" s="64">
        <f t="shared" si="7"/>
        <v>0</v>
      </c>
      <c r="AA31" s="64"/>
      <c r="AB31" s="64"/>
      <c r="AC31" s="64">
        <f t="shared" si="8"/>
        <v>0</v>
      </c>
      <c r="AD31" s="64"/>
      <c r="AE31" s="64"/>
      <c r="AF31" s="64">
        <f t="shared" si="9"/>
        <v>0</v>
      </c>
      <c r="AG31" s="64"/>
      <c r="AH31" s="64"/>
      <c r="AI31" s="64">
        <f t="shared" si="10"/>
        <v>0</v>
      </c>
      <c r="AJ31" s="64"/>
      <c r="AK31" s="64"/>
      <c r="AL31" s="64">
        <f t="shared" si="11"/>
        <v>0</v>
      </c>
      <c r="AM31" s="64">
        <v>24277</v>
      </c>
      <c r="AN31" s="64">
        <v>8092</v>
      </c>
      <c r="AO31" s="64">
        <f t="shared" si="12"/>
        <v>16185</v>
      </c>
      <c r="AP31" s="64"/>
      <c r="AQ31" s="64"/>
      <c r="AR31" s="64">
        <f t="shared" si="13"/>
        <v>0</v>
      </c>
      <c r="AS31" s="64"/>
      <c r="AT31" s="64"/>
      <c r="AU31" s="64">
        <f t="shared" si="14"/>
        <v>0</v>
      </c>
      <c r="AV31" s="64"/>
      <c r="AW31" s="64"/>
      <c r="AX31" s="64">
        <f t="shared" si="15"/>
        <v>0</v>
      </c>
      <c r="AY31" s="64"/>
      <c r="AZ31" s="64"/>
      <c r="BA31" s="64">
        <f t="shared" si="18"/>
        <v>0</v>
      </c>
      <c r="BB31" s="64">
        <v>122740</v>
      </c>
      <c r="BC31" s="64">
        <v>122470</v>
      </c>
      <c r="BD31" s="64">
        <f>BB31-BC31</f>
        <v>270</v>
      </c>
      <c r="BE31" s="64"/>
      <c r="BF31" s="65">
        <v>16878</v>
      </c>
      <c r="BG31" s="64">
        <v>131982.48</v>
      </c>
      <c r="BH31" s="64"/>
      <c r="BI31" s="64">
        <v>157</v>
      </c>
      <c r="BJ31" s="64">
        <f>413109.5+245547.99</f>
        <v>658657.49</v>
      </c>
      <c r="BK31" s="64"/>
      <c r="BL31" s="64">
        <f t="shared" si="2"/>
        <v>807674.97</v>
      </c>
      <c r="BM31" s="64"/>
    </row>
    <row r="32" spans="1:65" ht="13.5" thickBot="1">
      <c r="A32" s="33">
        <v>27</v>
      </c>
      <c r="B32" s="66" t="s">
        <v>47</v>
      </c>
      <c r="C32" s="64">
        <v>7560</v>
      </c>
      <c r="D32" s="64"/>
      <c r="E32" s="64">
        <f t="shared" si="0"/>
        <v>7560</v>
      </c>
      <c r="F32" s="64"/>
      <c r="G32" s="64"/>
      <c r="H32" s="64">
        <f t="shared" si="16"/>
        <v>0</v>
      </c>
      <c r="I32" s="39">
        <v>20007</v>
      </c>
      <c r="J32" s="64"/>
      <c r="K32" s="40">
        <f t="shared" si="3"/>
        <v>20007</v>
      </c>
      <c r="L32" s="64"/>
      <c r="M32" s="64"/>
      <c r="N32" s="64">
        <f t="shared" si="17"/>
        <v>0</v>
      </c>
      <c r="O32" s="64"/>
      <c r="P32" s="64"/>
      <c r="Q32" s="64">
        <f t="shared" si="4"/>
        <v>0</v>
      </c>
      <c r="R32" s="64"/>
      <c r="S32" s="64"/>
      <c r="T32" s="64">
        <f t="shared" si="5"/>
        <v>0</v>
      </c>
      <c r="U32" s="64"/>
      <c r="V32" s="64"/>
      <c r="W32" s="64">
        <f t="shared" si="6"/>
        <v>0</v>
      </c>
      <c r="X32" s="64"/>
      <c r="Y32" s="64"/>
      <c r="Z32" s="64">
        <f t="shared" si="7"/>
        <v>0</v>
      </c>
      <c r="AA32" s="64"/>
      <c r="AB32" s="64"/>
      <c r="AC32" s="64">
        <f t="shared" si="8"/>
        <v>0</v>
      </c>
      <c r="AD32" s="64">
        <v>16170</v>
      </c>
      <c r="AE32" s="64"/>
      <c r="AF32" s="64">
        <f t="shared" si="9"/>
        <v>16170</v>
      </c>
      <c r="AG32" s="64"/>
      <c r="AH32" s="64"/>
      <c r="AI32" s="64">
        <f t="shared" si="10"/>
        <v>0</v>
      </c>
      <c r="AJ32" s="64"/>
      <c r="AK32" s="64"/>
      <c r="AL32" s="64">
        <f t="shared" si="11"/>
        <v>0</v>
      </c>
      <c r="AM32" s="64">
        <v>7560</v>
      </c>
      <c r="AN32" s="64">
        <v>2520</v>
      </c>
      <c r="AO32" s="64">
        <f t="shared" si="12"/>
        <v>5040</v>
      </c>
      <c r="AP32" s="64"/>
      <c r="AQ32" s="64"/>
      <c r="AR32" s="64">
        <f t="shared" si="13"/>
        <v>0</v>
      </c>
      <c r="AS32" s="64"/>
      <c r="AT32" s="64"/>
      <c r="AU32" s="64">
        <f t="shared" si="14"/>
        <v>0</v>
      </c>
      <c r="AV32" s="64"/>
      <c r="AW32" s="64"/>
      <c r="AX32" s="64">
        <f t="shared" si="15"/>
        <v>0</v>
      </c>
      <c r="AY32" s="64"/>
      <c r="AZ32" s="64"/>
      <c r="BA32" s="64">
        <f t="shared" si="18"/>
        <v>0</v>
      </c>
      <c r="BB32" s="64"/>
      <c r="BC32" s="64"/>
      <c r="BD32" s="64"/>
      <c r="BE32" s="64"/>
      <c r="BF32" s="65">
        <v>-34344</v>
      </c>
      <c r="BG32" s="64">
        <v>47786.76</v>
      </c>
      <c r="BH32" s="64"/>
      <c r="BI32" s="64"/>
      <c r="BJ32" s="64"/>
      <c r="BK32" s="64"/>
      <c r="BL32" s="64">
        <f t="shared" si="2"/>
        <v>13442.760000000002</v>
      </c>
      <c r="BM32" s="64"/>
    </row>
    <row r="33" spans="1:65" ht="13.5" thickBot="1">
      <c r="A33" s="36">
        <v>28</v>
      </c>
      <c r="B33" s="39" t="s">
        <v>48</v>
      </c>
      <c r="C33" s="39"/>
      <c r="D33" s="39"/>
      <c r="E33" s="39">
        <f t="shared" si="0"/>
        <v>0</v>
      </c>
      <c r="F33" s="39"/>
      <c r="G33" s="39"/>
      <c r="H33" s="39">
        <f t="shared" si="16"/>
        <v>0</v>
      </c>
      <c r="I33" s="39">
        <v>20007</v>
      </c>
      <c r="J33" s="39"/>
      <c r="K33" s="40">
        <f t="shared" si="3"/>
        <v>20007</v>
      </c>
      <c r="L33" s="39">
        <v>50190</v>
      </c>
      <c r="M33" s="39"/>
      <c r="N33" s="39">
        <f t="shared" si="17"/>
        <v>50190</v>
      </c>
      <c r="O33" s="39"/>
      <c r="P33" s="39"/>
      <c r="Q33" s="39">
        <f t="shared" si="4"/>
        <v>0</v>
      </c>
      <c r="R33" s="39"/>
      <c r="S33" s="39"/>
      <c r="T33" s="39">
        <f t="shared" si="5"/>
        <v>0</v>
      </c>
      <c r="U33" s="39"/>
      <c r="V33" s="39"/>
      <c r="W33" s="39">
        <f t="shared" si="6"/>
        <v>0</v>
      </c>
      <c r="X33" s="39">
        <v>30768</v>
      </c>
      <c r="Y33" s="39"/>
      <c r="Z33" s="39">
        <f t="shared" si="7"/>
        <v>30768</v>
      </c>
      <c r="AA33" s="39"/>
      <c r="AB33" s="39"/>
      <c r="AC33" s="39">
        <f t="shared" si="8"/>
        <v>0</v>
      </c>
      <c r="AD33" s="39">
        <v>104874</v>
      </c>
      <c r="AE33" s="39"/>
      <c r="AF33" s="39">
        <f t="shared" si="9"/>
        <v>104874</v>
      </c>
      <c r="AG33" s="39"/>
      <c r="AH33" s="39"/>
      <c r="AI33" s="39">
        <f t="shared" si="10"/>
        <v>0</v>
      </c>
      <c r="AJ33" s="39"/>
      <c r="AK33" s="39"/>
      <c r="AL33" s="39">
        <f t="shared" si="11"/>
        <v>0</v>
      </c>
      <c r="AM33" s="39">
        <v>22595</v>
      </c>
      <c r="AN33" s="39">
        <v>7532</v>
      </c>
      <c r="AO33" s="39">
        <f t="shared" si="12"/>
        <v>15063</v>
      </c>
      <c r="AP33" s="39"/>
      <c r="AQ33" s="39"/>
      <c r="AR33" s="39">
        <f t="shared" si="13"/>
        <v>0</v>
      </c>
      <c r="AS33" s="39"/>
      <c r="AT33" s="39"/>
      <c r="AU33" s="39">
        <f t="shared" si="14"/>
        <v>0</v>
      </c>
      <c r="AV33" s="39"/>
      <c r="AW33" s="39"/>
      <c r="AX33" s="39">
        <f t="shared" si="15"/>
        <v>0</v>
      </c>
      <c r="AY33" s="39"/>
      <c r="AZ33" s="39"/>
      <c r="BA33" s="40">
        <f t="shared" si="18"/>
        <v>0</v>
      </c>
      <c r="BB33" s="40"/>
      <c r="BC33" s="40"/>
      <c r="BD33" s="40"/>
      <c r="BE33" s="40"/>
      <c r="BF33" s="55">
        <v>-69928</v>
      </c>
      <c r="BG33" s="40">
        <v>69992.17</v>
      </c>
      <c r="BH33" s="40"/>
      <c r="BI33" s="40"/>
      <c r="BJ33" s="40"/>
      <c r="BK33" s="40"/>
      <c r="BL33" s="40">
        <f t="shared" si="2"/>
        <v>64.16999999999825</v>
      </c>
      <c r="BM33" s="40"/>
    </row>
    <row r="34" spans="1:65" ht="13.5" thickBot="1">
      <c r="A34" s="33">
        <v>29</v>
      </c>
      <c r="B34" s="52" t="s">
        <v>49</v>
      </c>
      <c r="C34" s="39"/>
      <c r="D34" s="39"/>
      <c r="E34" s="39">
        <f t="shared" si="0"/>
        <v>0</v>
      </c>
      <c r="F34" s="39"/>
      <c r="G34" s="39"/>
      <c r="H34" s="39">
        <f t="shared" si="16"/>
        <v>0</v>
      </c>
      <c r="I34" s="39">
        <v>20007</v>
      </c>
      <c r="J34" s="39"/>
      <c r="K34" s="40">
        <f t="shared" si="3"/>
        <v>20007</v>
      </c>
      <c r="L34" s="39">
        <v>33460</v>
      </c>
      <c r="M34" s="39"/>
      <c r="N34" s="39">
        <f t="shared" si="17"/>
        <v>33460</v>
      </c>
      <c r="O34" s="39"/>
      <c r="P34" s="39"/>
      <c r="Q34" s="39">
        <f t="shared" si="4"/>
        <v>0</v>
      </c>
      <c r="R34" s="39"/>
      <c r="S34" s="39"/>
      <c r="T34" s="39">
        <f t="shared" si="5"/>
        <v>0</v>
      </c>
      <c r="U34" s="39"/>
      <c r="V34" s="39"/>
      <c r="W34" s="39">
        <f t="shared" si="6"/>
        <v>0</v>
      </c>
      <c r="X34" s="39">
        <v>30768</v>
      </c>
      <c r="Y34" s="39"/>
      <c r="Z34" s="39">
        <f t="shared" si="7"/>
        <v>30768</v>
      </c>
      <c r="AA34" s="39"/>
      <c r="AB34" s="39"/>
      <c r="AC34" s="39">
        <f t="shared" si="8"/>
        <v>0</v>
      </c>
      <c r="AD34" s="39">
        <v>149765</v>
      </c>
      <c r="AE34" s="39"/>
      <c r="AF34" s="39">
        <f t="shared" si="9"/>
        <v>149765</v>
      </c>
      <c r="AG34" s="39"/>
      <c r="AH34" s="39"/>
      <c r="AI34" s="39">
        <f t="shared" si="10"/>
        <v>0</v>
      </c>
      <c r="AJ34" s="39"/>
      <c r="AK34" s="39"/>
      <c r="AL34" s="39">
        <f t="shared" si="11"/>
        <v>0</v>
      </c>
      <c r="AM34" s="39">
        <v>17993</v>
      </c>
      <c r="AN34" s="39">
        <v>5998</v>
      </c>
      <c r="AO34" s="39">
        <f t="shared" si="12"/>
        <v>11995</v>
      </c>
      <c r="AP34" s="39"/>
      <c r="AQ34" s="39"/>
      <c r="AR34" s="39">
        <f t="shared" si="13"/>
        <v>0</v>
      </c>
      <c r="AS34" s="39"/>
      <c r="AT34" s="39"/>
      <c r="AU34" s="39">
        <f t="shared" si="14"/>
        <v>0</v>
      </c>
      <c r="AV34" s="39"/>
      <c r="AW34" s="39"/>
      <c r="AX34" s="39">
        <f t="shared" si="15"/>
        <v>0</v>
      </c>
      <c r="AY34" s="39"/>
      <c r="AZ34" s="39"/>
      <c r="BA34" s="40">
        <f t="shared" si="18"/>
        <v>0</v>
      </c>
      <c r="BB34" s="40"/>
      <c r="BC34" s="40"/>
      <c r="BD34" s="40"/>
      <c r="BE34" s="40"/>
      <c r="BF34" s="55">
        <v>-120009</v>
      </c>
      <c r="BG34" s="40">
        <v>70605.86</v>
      </c>
      <c r="BH34" s="40"/>
      <c r="BI34" s="40"/>
      <c r="BJ34" s="40"/>
      <c r="BK34" s="40"/>
      <c r="BL34" s="40">
        <f t="shared" si="2"/>
        <v>-49403.14</v>
      </c>
      <c r="BM34" s="40"/>
    </row>
    <row r="35" spans="1:65" ht="13.5" thickBot="1">
      <c r="A35" s="36">
        <v>30</v>
      </c>
      <c r="B35" s="39" t="s">
        <v>50</v>
      </c>
      <c r="C35" s="39">
        <v>7560</v>
      </c>
      <c r="D35" s="39"/>
      <c r="E35" s="39">
        <f t="shared" si="0"/>
        <v>7560</v>
      </c>
      <c r="F35" s="39"/>
      <c r="G35" s="39"/>
      <c r="H35" s="39">
        <f t="shared" si="16"/>
        <v>0</v>
      </c>
      <c r="I35" s="39"/>
      <c r="J35" s="39"/>
      <c r="K35" s="40">
        <f t="shared" si="3"/>
        <v>0</v>
      </c>
      <c r="L35" s="39"/>
      <c r="M35" s="39"/>
      <c r="N35" s="39">
        <f t="shared" si="17"/>
        <v>0</v>
      </c>
      <c r="O35" s="39"/>
      <c r="P35" s="39"/>
      <c r="Q35" s="39">
        <f t="shared" si="4"/>
        <v>0</v>
      </c>
      <c r="R35" s="39"/>
      <c r="S35" s="39"/>
      <c r="T35" s="39">
        <f t="shared" si="5"/>
        <v>0</v>
      </c>
      <c r="U35" s="39"/>
      <c r="V35" s="39"/>
      <c r="W35" s="39">
        <f t="shared" si="6"/>
        <v>0</v>
      </c>
      <c r="X35" s="39"/>
      <c r="Y35" s="39"/>
      <c r="Z35" s="39">
        <f t="shared" si="7"/>
        <v>0</v>
      </c>
      <c r="AA35" s="39"/>
      <c r="AB35" s="39"/>
      <c r="AC35" s="39">
        <f t="shared" si="8"/>
        <v>0</v>
      </c>
      <c r="AD35" s="39"/>
      <c r="AE35" s="39"/>
      <c r="AF35" s="39">
        <f t="shared" si="9"/>
        <v>0</v>
      </c>
      <c r="AG35" s="39"/>
      <c r="AH35" s="39"/>
      <c r="AI35" s="39">
        <f t="shared" si="10"/>
        <v>0</v>
      </c>
      <c r="AJ35" s="39"/>
      <c r="AK35" s="39"/>
      <c r="AL35" s="39">
        <f t="shared" si="11"/>
        <v>0</v>
      </c>
      <c r="AM35" s="39">
        <v>19707</v>
      </c>
      <c r="AN35" s="39">
        <v>6569</v>
      </c>
      <c r="AO35" s="39">
        <f t="shared" si="12"/>
        <v>13138</v>
      </c>
      <c r="AP35" s="39"/>
      <c r="AQ35" s="39"/>
      <c r="AR35" s="39">
        <f t="shared" si="13"/>
        <v>0</v>
      </c>
      <c r="AS35" s="39"/>
      <c r="AT35" s="39"/>
      <c r="AU35" s="39">
        <f t="shared" si="14"/>
        <v>0</v>
      </c>
      <c r="AV35" s="39"/>
      <c r="AW35" s="39"/>
      <c r="AX35" s="39">
        <f t="shared" si="15"/>
        <v>0</v>
      </c>
      <c r="AY35" s="39"/>
      <c r="AZ35" s="39"/>
      <c r="BA35" s="40">
        <f t="shared" si="18"/>
        <v>0</v>
      </c>
      <c r="BB35" s="40">
        <v>82365</v>
      </c>
      <c r="BC35" s="40"/>
      <c r="BD35" s="40"/>
      <c r="BE35" s="40"/>
      <c r="BF35" s="55">
        <v>57882</v>
      </c>
      <c r="BG35" s="40">
        <v>70605.86</v>
      </c>
      <c r="BH35" s="40"/>
      <c r="BI35" s="40"/>
      <c r="BJ35" s="40"/>
      <c r="BK35" s="40"/>
      <c r="BL35" s="40">
        <f t="shared" si="2"/>
        <v>128487.86</v>
      </c>
      <c r="BM35" s="40"/>
    </row>
    <row r="36" spans="1:65" ht="13.5" thickBot="1">
      <c r="A36" s="33">
        <v>31</v>
      </c>
      <c r="B36" s="52" t="s">
        <v>51</v>
      </c>
      <c r="C36" s="39">
        <v>5640</v>
      </c>
      <c r="D36" s="39"/>
      <c r="E36" s="39">
        <f t="shared" si="0"/>
        <v>5640</v>
      </c>
      <c r="F36" s="39"/>
      <c r="G36" s="39"/>
      <c r="H36" s="39">
        <f t="shared" si="16"/>
        <v>0</v>
      </c>
      <c r="I36" s="39"/>
      <c r="J36" s="39"/>
      <c r="K36" s="40">
        <f t="shared" si="3"/>
        <v>0</v>
      </c>
      <c r="L36" s="39"/>
      <c r="M36" s="39"/>
      <c r="N36" s="39">
        <f t="shared" si="17"/>
        <v>0</v>
      </c>
      <c r="O36" s="39"/>
      <c r="P36" s="39"/>
      <c r="Q36" s="39">
        <f t="shared" si="4"/>
        <v>0</v>
      </c>
      <c r="R36" s="39"/>
      <c r="S36" s="39"/>
      <c r="T36" s="39">
        <f t="shared" si="5"/>
        <v>0</v>
      </c>
      <c r="U36" s="39"/>
      <c r="V36" s="39"/>
      <c r="W36" s="39">
        <f t="shared" si="6"/>
        <v>0</v>
      </c>
      <c r="X36" s="39"/>
      <c r="Y36" s="39"/>
      <c r="Z36" s="39">
        <f t="shared" si="7"/>
        <v>0</v>
      </c>
      <c r="AA36" s="39"/>
      <c r="AB36" s="39"/>
      <c r="AC36" s="39">
        <f t="shared" si="8"/>
        <v>0</v>
      </c>
      <c r="AD36" s="39"/>
      <c r="AE36" s="39"/>
      <c r="AF36" s="39">
        <f t="shared" si="9"/>
        <v>0</v>
      </c>
      <c r="AG36" s="39"/>
      <c r="AH36" s="39"/>
      <c r="AI36" s="39">
        <f t="shared" si="10"/>
        <v>0</v>
      </c>
      <c r="AJ36" s="39"/>
      <c r="AK36" s="39"/>
      <c r="AL36" s="39">
        <f t="shared" si="11"/>
        <v>0</v>
      </c>
      <c r="AM36" s="39">
        <v>8174</v>
      </c>
      <c r="AN36" s="39">
        <v>2725</v>
      </c>
      <c r="AO36" s="39">
        <f t="shared" si="12"/>
        <v>5449</v>
      </c>
      <c r="AP36" s="39"/>
      <c r="AQ36" s="39"/>
      <c r="AR36" s="39">
        <f t="shared" si="13"/>
        <v>0</v>
      </c>
      <c r="AS36" s="39"/>
      <c r="AT36" s="39"/>
      <c r="AU36" s="39">
        <f t="shared" si="14"/>
        <v>0</v>
      </c>
      <c r="AV36" s="39"/>
      <c r="AW36" s="39"/>
      <c r="AX36" s="39">
        <f t="shared" si="15"/>
        <v>0</v>
      </c>
      <c r="AY36" s="39"/>
      <c r="AZ36" s="39"/>
      <c r="BA36" s="40">
        <f t="shared" si="18"/>
        <v>0</v>
      </c>
      <c r="BB36" s="40"/>
      <c r="BC36" s="40"/>
      <c r="BD36" s="40"/>
      <c r="BE36" s="40"/>
      <c r="BF36" s="55">
        <v>35233</v>
      </c>
      <c r="BG36" s="40">
        <v>69265.22</v>
      </c>
      <c r="BH36" s="40"/>
      <c r="BI36" s="40"/>
      <c r="BJ36" s="40"/>
      <c r="BK36" s="40"/>
      <c r="BL36" s="40">
        <f t="shared" si="2"/>
        <v>104498.22</v>
      </c>
      <c r="BM36" s="40"/>
    </row>
    <row r="37" spans="1:65" ht="13.5" thickBot="1">
      <c r="A37" s="36">
        <v>32</v>
      </c>
      <c r="B37" s="39" t="s">
        <v>52</v>
      </c>
      <c r="C37" s="39">
        <v>4410</v>
      </c>
      <c r="D37" s="39"/>
      <c r="E37" s="39">
        <f t="shared" si="0"/>
        <v>4410</v>
      </c>
      <c r="F37" s="39"/>
      <c r="G37" s="39"/>
      <c r="H37" s="39">
        <f t="shared" si="16"/>
        <v>0</v>
      </c>
      <c r="I37" s="39"/>
      <c r="J37" s="39"/>
      <c r="K37" s="40">
        <f t="shared" si="3"/>
        <v>0</v>
      </c>
      <c r="L37" s="39"/>
      <c r="M37" s="39"/>
      <c r="N37" s="39">
        <f t="shared" si="17"/>
        <v>0</v>
      </c>
      <c r="O37" s="39"/>
      <c r="P37" s="39"/>
      <c r="Q37" s="39">
        <f t="shared" si="4"/>
        <v>0</v>
      </c>
      <c r="R37" s="39"/>
      <c r="S37" s="39"/>
      <c r="T37" s="39">
        <f t="shared" si="5"/>
        <v>0</v>
      </c>
      <c r="U37" s="39"/>
      <c r="V37" s="39"/>
      <c r="W37" s="39">
        <f t="shared" si="6"/>
        <v>0</v>
      </c>
      <c r="X37" s="39">
        <f>30768+21190</f>
        <v>51958</v>
      </c>
      <c r="Y37" s="39"/>
      <c r="Z37" s="39">
        <f t="shared" si="7"/>
        <v>51958</v>
      </c>
      <c r="AA37" s="39"/>
      <c r="AB37" s="39"/>
      <c r="AC37" s="39">
        <f t="shared" si="8"/>
        <v>0</v>
      </c>
      <c r="AD37" s="39"/>
      <c r="AE37" s="39"/>
      <c r="AF37" s="39">
        <f t="shared" si="9"/>
        <v>0</v>
      </c>
      <c r="AG37" s="39"/>
      <c r="AH37" s="39"/>
      <c r="AI37" s="39">
        <f t="shared" si="10"/>
        <v>0</v>
      </c>
      <c r="AJ37" s="39"/>
      <c r="AK37" s="39"/>
      <c r="AL37" s="39">
        <f t="shared" si="11"/>
        <v>0</v>
      </c>
      <c r="AM37" s="39">
        <v>11075</v>
      </c>
      <c r="AN37" s="39">
        <v>3692</v>
      </c>
      <c r="AO37" s="39">
        <f t="shared" si="12"/>
        <v>7383</v>
      </c>
      <c r="AP37" s="39"/>
      <c r="AQ37" s="39"/>
      <c r="AR37" s="39">
        <f t="shared" si="13"/>
        <v>0</v>
      </c>
      <c r="AS37" s="39"/>
      <c r="AT37" s="39"/>
      <c r="AU37" s="39">
        <f t="shared" si="14"/>
        <v>0</v>
      </c>
      <c r="AV37" s="39"/>
      <c r="AW37" s="39"/>
      <c r="AX37" s="39">
        <f t="shared" si="15"/>
        <v>0</v>
      </c>
      <c r="AY37" s="39"/>
      <c r="AZ37" s="39"/>
      <c r="BA37" s="40">
        <f t="shared" si="18"/>
        <v>0</v>
      </c>
      <c r="BB37" s="40"/>
      <c r="BC37" s="40"/>
      <c r="BD37" s="40"/>
      <c r="BE37" s="40"/>
      <c r="BF37" s="55">
        <v>69825</v>
      </c>
      <c r="BG37" s="40">
        <v>70512.37</v>
      </c>
      <c r="BH37" s="40"/>
      <c r="BI37" s="40"/>
      <c r="BJ37" s="40"/>
      <c r="BK37" s="40"/>
      <c r="BL37" s="40">
        <f t="shared" si="2"/>
        <v>140337.37</v>
      </c>
      <c r="BM37" s="40"/>
    </row>
    <row r="38" spans="1:65" ht="13.5" thickBot="1">
      <c r="A38" s="33">
        <v>33</v>
      </c>
      <c r="B38" s="52" t="s">
        <v>53</v>
      </c>
      <c r="C38" s="39">
        <v>120354</v>
      </c>
      <c r="D38" s="39">
        <v>120354</v>
      </c>
      <c r="E38" s="39">
        <f aca="true" t="shared" si="20" ref="E38:E54">C38-D38</f>
        <v>0</v>
      </c>
      <c r="F38" s="39"/>
      <c r="G38" s="39"/>
      <c r="H38" s="39">
        <f t="shared" si="16"/>
        <v>0</v>
      </c>
      <c r="I38" s="39"/>
      <c r="J38" s="39"/>
      <c r="K38" s="39">
        <f t="shared" si="3"/>
        <v>0</v>
      </c>
      <c r="L38" s="39"/>
      <c r="M38" s="39"/>
      <c r="N38" s="39">
        <f t="shared" si="17"/>
        <v>0</v>
      </c>
      <c r="O38" s="39"/>
      <c r="P38" s="39"/>
      <c r="Q38" s="39">
        <f t="shared" si="4"/>
        <v>0</v>
      </c>
      <c r="R38" s="39"/>
      <c r="S38" s="39"/>
      <c r="T38" s="39">
        <f t="shared" si="5"/>
        <v>0</v>
      </c>
      <c r="U38" s="39"/>
      <c r="V38" s="39"/>
      <c r="W38" s="39">
        <f t="shared" si="6"/>
        <v>0</v>
      </c>
      <c r="X38" s="39">
        <f>20512+14126</f>
        <v>34638</v>
      </c>
      <c r="Y38" s="39"/>
      <c r="Z38" s="39">
        <f t="shared" si="7"/>
        <v>34638</v>
      </c>
      <c r="AA38" s="39"/>
      <c r="AB38" s="39"/>
      <c r="AC38" s="39">
        <f t="shared" si="8"/>
        <v>0</v>
      </c>
      <c r="AD38" s="39"/>
      <c r="AE38" s="39"/>
      <c r="AF38" s="39">
        <f t="shared" si="9"/>
        <v>0</v>
      </c>
      <c r="AG38" s="39"/>
      <c r="AH38" s="39"/>
      <c r="AI38" s="39">
        <f t="shared" si="10"/>
        <v>0</v>
      </c>
      <c r="AJ38" s="39"/>
      <c r="AK38" s="39"/>
      <c r="AL38" s="39">
        <f t="shared" si="11"/>
        <v>0</v>
      </c>
      <c r="AM38" s="39">
        <v>17445</v>
      </c>
      <c r="AN38" s="39">
        <v>5815</v>
      </c>
      <c r="AO38" s="39">
        <f t="shared" si="12"/>
        <v>11630</v>
      </c>
      <c r="AP38" s="39"/>
      <c r="AQ38" s="39"/>
      <c r="AR38" s="39">
        <f t="shared" si="13"/>
        <v>0</v>
      </c>
      <c r="AS38" s="39"/>
      <c r="AT38" s="39"/>
      <c r="AU38" s="39">
        <f t="shared" si="14"/>
        <v>0</v>
      </c>
      <c r="AV38" s="39"/>
      <c r="AW38" s="39"/>
      <c r="AX38" s="39">
        <f t="shared" si="15"/>
        <v>0</v>
      </c>
      <c r="AY38" s="39"/>
      <c r="AZ38" s="39"/>
      <c r="BA38" s="40">
        <f t="shared" si="18"/>
        <v>0</v>
      </c>
      <c r="BB38" s="40"/>
      <c r="BC38" s="40"/>
      <c r="BD38" s="40"/>
      <c r="BE38" s="40"/>
      <c r="BF38" s="55">
        <v>-85342</v>
      </c>
      <c r="BG38" s="40">
        <v>44503.96</v>
      </c>
      <c r="BH38" s="40"/>
      <c r="BI38" s="40"/>
      <c r="BJ38" s="40"/>
      <c r="BK38" s="40"/>
      <c r="BL38" s="40">
        <f t="shared" si="2"/>
        <v>-40838.04</v>
      </c>
      <c r="BM38" s="40"/>
    </row>
    <row r="39" spans="1:65" ht="13.5" thickBot="1">
      <c r="A39" s="36">
        <v>34</v>
      </c>
      <c r="B39" s="39" t="s">
        <v>54</v>
      </c>
      <c r="C39" s="39">
        <v>158106</v>
      </c>
      <c r="D39" s="39">
        <v>158106</v>
      </c>
      <c r="E39" s="39">
        <f t="shared" si="20"/>
        <v>0</v>
      </c>
      <c r="F39" s="39"/>
      <c r="G39" s="39"/>
      <c r="H39" s="39">
        <f t="shared" si="16"/>
        <v>0</v>
      </c>
      <c r="I39" s="39"/>
      <c r="J39" s="39"/>
      <c r="K39" s="39">
        <f t="shared" si="3"/>
        <v>0</v>
      </c>
      <c r="L39" s="39"/>
      <c r="M39" s="39"/>
      <c r="N39" s="39">
        <f t="shared" si="17"/>
        <v>0</v>
      </c>
      <c r="O39" s="39">
        <v>10200</v>
      </c>
      <c r="P39" s="39"/>
      <c r="Q39" s="39">
        <f t="shared" si="4"/>
        <v>10200</v>
      </c>
      <c r="R39" s="39"/>
      <c r="S39" s="39"/>
      <c r="T39" s="39">
        <f t="shared" si="5"/>
        <v>0</v>
      </c>
      <c r="U39" s="39"/>
      <c r="V39" s="39"/>
      <c r="W39" s="39">
        <f t="shared" si="6"/>
        <v>0</v>
      </c>
      <c r="X39" s="39">
        <v>30768</v>
      </c>
      <c r="Y39" s="39"/>
      <c r="Z39" s="39">
        <v>30768</v>
      </c>
      <c r="AA39" s="39"/>
      <c r="AB39" s="39"/>
      <c r="AC39" s="39">
        <f t="shared" si="8"/>
        <v>0</v>
      </c>
      <c r="AD39" s="39"/>
      <c r="AE39" s="39"/>
      <c r="AF39" s="39">
        <f t="shared" si="9"/>
        <v>0</v>
      </c>
      <c r="AG39" s="39"/>
      <c r="AH39" s="39"/>
      <c r="AI39" s="39">
        <f t="shared" si="10"/>
        <v>0</v>
      </c>
      <c r="AJ39" s="39"/>
      <c r="AK39" s="39"/>
      <c r="AL39" s="39">
        <f t="shared" si="11"/>
        <v>0</v>
      </c>
      <c r="AM39" s="39">
        <v>10584</v>
      </c>
      <c r="AN39" s="39">
        <v>3528</v>
      </c>
      <c r="AO39" s="39">
        <f t="shared" si="12"/>
        <v>7056</v>
      </c>
      <c r="AP39" s="39"/>
      <c r="AQ39" s="39"/>
      <c r="AR39" s="39">
        <f t="shared" si="13"/>
        <v>0</v>
      </c>
      <c r="AS39" s="39"/>
      <c r="AT39" s="39"/>
      <c r="AU39" s="39">
        <f t="shared" si="14"/>
        <v>0</v>
      </c>
      <c r="AV39" s="39"/>
      <c r="AW39" s="39"/>
      <c r="AX39" s="39">
        <f t="shared" si="15"/>
        <v>0</v>
      </c>
      <c r="AY39" s="39"/>
      <c r="AZ39" s="39"/>
      <c r="BA39" s="40">
        <f t="shared" si="18"/>
        <v>0</v>
      </c>
      <c r="BB39" s="40"/>
      <c r="BC39" s="40"/>
      <c r="BD39" s="40"/>
      <c r="BE39" s="40"/>
      <c r="BF39" s="55">
        <v>-199848</v>
      </c>
      <c r="BG39" s="40">
        <v>69256.4</v>
      </c>
      <c r="BH39" s="40"/>
      <c r="BI39" s="40"/>
      <c r="BJ39" s="40"/>
      <c r="BK39" s="40"/>
      <c r="BL39" s="40">
        <f t="shared" si="2"/>
        <v>-130591.6</v>
      </c>
      <c r="BM39" s="40"/>
    </row>
    <row r="40" spans="1:65" ht="13.5" thickBot="1">
      <c r="A40" s="36">
        <v>35</v>
      </c>
      <c r="B40" s="39" t="s">
        <v>210</v>
      </c>
      <c r="C40" s="39"/>
      <c r="D40" s="39"/>
      <c r="E40" s="39">
        <f t="shared" si="20"/>
        <v>0</v>
      </c>
      <c r="F40" s="39"/>
      <c r="G40" s="39"/>
      <c r="H40" s="39">
        <f t="shared" si="16"/>
        <v>0</v>
      </c>
      <c r="I40" s="39"/>
      <c r="J40" s="39"/>
      <c r="K40" s="40">
        <f t="shared" si="3"/>
        <v>0</v>
      </c>
      <c r="L40" s="39"/>
      <c r="M40" s="39"/>
      <c r="N40" s="39">
        <f t="shared" si="17"/>
        <v>0</v>
      </c>
      <c r="O40" s="39"/>
      <c r="P40" s="39"/>
      <c r="Q40" s="39">
        <f t="shared" si="4"/>
        <v>0</v>
      </c>
      <c r="R40" s="39"/>
      <c r="S40" s="39"/>
      <c r="T40" s="39">
        <f t="shared" si="5"/>
        <v>0</v>
      </c>
      <c r="U40" s="39"/>
      <c r="V40" s="39"/>
      <c r="W40" s="39">
        <f t="shared" si="6"/>
        <v>0</v>
      </c>
      <c r="X40" s="39">
        <v>27079</v>
      </c>
      <c r="Y40" s="39"/>
      <c r="Z40" s="39">
        <f t="shared" si="7"/>
        <v>27079</v>
      </c>
      <c r="AA40" s="39"/>
      <c r="AB40" s="39"/>
      <c r="AC40" s="39">
        <f t="shared" si="8"/>
        <v>0</v>
      </c>
      <c r="AD40" s="39"/>
      <c r="AE40" s="39"/>
      <c r="AF40" s="39">
        <f t="shared" si="9"/>
        <v>0</v>
      </c>
      <c r="AG40" s="39"/>
      <c r="AH40" s="39"/>
      <c r="AI40" s="39">
        <f t="shared" si="10"/>
        <v>0</v>
      </c>
      <c r="AJ40" s="39"/>
      <c r="AK40" s="39"/>
      <c r="AL40" s="39">
        <f t="shared" si="11"/>
        <v>0</v>
      </c>
      <c r="AM40" s="39"/>
      <c r="AN40" s="39"/>
      <c r="AO40" s="39">
        <f t="shared" si="12"/>
        <v>0</v>
      </c>
      <c r="AP40" s="39"/>
      <c r="AQ40" s="39"/>
      <c r="AR40" s="39">
        <f t="shared" si="13"/>
        <v>0</v>
      </c>
      <c r="AS40" s="39"/>
      <c r="AT40" s="39"/>
      <c r="AU40" s="39">
        <f t="shared" si="14"/>
        <v>0</v>
      </c>
      <c r="AV40" s="39"/>
      <c r="AW40" s="39"/>
      <c r="AX40" s="39">
        <f t="shared" si="15"/>
        <v>0</v>
      </c>
      <c r="AY40" s="39"/>
      <c r="AZ40" s="39"/>
      <c r="BA40" s="40">
        <f t="shared" si="18"/>
        <v>0</v>
      </c>
      <c r="BB40" s="40"/>
      <c r="BC40" s="40"/>
      <c r="BD40" s="40"/>
      <c r="BE40" s="40"/>
      <c r="BF40" s="55"/>
      <c r="BG40" s="40">
        <v>41318.17</v>
      </c>
      <c r="BH40" s="40"/>
      <c r="BI40" s="40"/>
      <c r="BJ40" s="40"/>
      <c r="BK40" s="40"/>
      <c r="BL40" s="40">
        <f t="shared" si="2"/>
        <v>41318.17</v>
      </c>
      <c r="BM40" s="40"/>
    </row>
    <row r="41" spans="1:65" ht="13.5" thickBot="1">
      <c r="A41" s="33">
        <v>36</v>
      </c>
      <c r="B41" s="52" t="s">
        <v>55</v>
      </c>
      <c r="C41" s="39">
        <v>3150</v>
      </c>
      <c r="D41" s="39"/>
      <c r="E41" s="39">
        <f t="shared" si="20"/>
        <v>3150</v>
      </c>
      <c r="F41" s="39"/>
      <c r="G41" s="39"/>
      <c r="H41" s="39">
        <f t="shared" si="16"/>
        <v>0</v>
      </c>
      <c r="I41" s="39"/>
      <c r="J41" s="39"/>
      <c r="K41" s="39">
        <f t="shared" si="3"/>
        <v>0</v>
      </c>
      <c r="L41" s="39"/>
      <c r="M41" s="39"/>
      <c r="N41" s="39">
        <f t="shared" si="17"/>
        <v>0</v>
      </c>
      <c r="O41" s="39">
        <v>1300</v>
      </c>
      <c r="P41" s="39"/>
      <c r="Q41" s="39">
        <f t="shared" si="4"/>
        <v>1300</v>
      </c>
      <c r="R41" s="39"/>
      <c r="S41" s="39"/>
      <c r="T41" s="39">
        <f t="shared" si="5"/>
        <v>0</v>
      </c>
      <c r="U41" s="39"/>
      <c r="V41" s="39"/>
      <c r="W41" s="39">
        <f t="shared" si="6"/>
        <v>0</v>
      </c>
      <c r="X41" s="39">
        <v>30768</v>
      </c>
      <c r="Y41" s="39"/>
      <c r="Z41" s="39">
        <f t="shared" si="7"/>
        <v>30768</v>
      </c>
      <c r="AA41" s="39">
        <v>25100</v>
      </c>
      <c r="AB41" s="39"/>
      <c r="AC41" s="39">
        <f t="shared" si="8"/>
        <v>25100</v>
      </c>
      <c r="AD41" s="39">
        <v>81158</v>
      </c>
      <c r="AE41" s="39"/>
      <c r="AF41" s="39">
        <f t="shared" si="9"/>
        <v>81158</v>
      </c>
      <c r="AG41" s="39"/>
      <c r="AH41" s="39"/>
      <c r="AI41" s="39">
        <f t="shared" si="10"/>
        <v>0</v>
      </c>
      <c r="AJ41" s="39"/>
      <c r="AK41" s="39"/>
      <c r="AL41" s="39">
        <f t="shared" si="11"/>
        <v>0</v>
      </c>
      <c r="AM41" s="39">
        <v>11293</v>
      </c>
      <c r="AN41" s="39">
        <v>3764</v>
      </c>
      <c r="AO41" s="39">
        <f t="shared" si="12"/>
        <v>7529</v>
      </c>
      <c r="AP41" s="39"/>
      <c r="AQ41" s="39"/>
      <c r="AR41" s="39">
        <f t="shared" si="13"/>
        <v>0</v>
      </c>
      <c r="AS41" s="39"/>
      <c r="AT41" s="39"/>
      <c r="AU41" s="39">
        <f t="shared" si="14"/>
        <v>0</v>
      </c>
      <c r="AV41" s="39"/>
      <c r="AW41" s="39"/>
      <c r="AX41" s="39">
        <f t="shared" si="15"/>
        <v>0</v>
      </c>
      <c r="AY41" s="39"/>
      <c r="AZ41" s="39"/>
      <c r="BA41" s="40">
        <f t="shared" si="18"/>
        <v>0</v>
      </c>
      <c r="BB41" s="40"/>
      <c r="BC41" s="40"/>
      <c r="BD41" s="40"/>
      <c r="BE41" s="40"/>
      <c r="BF41" s="55">
        <v>72337</v>
      </c>
      <c r="BG41" s="40">
        <v>81943.09</v>
      </c>
      <c r="BH41" s="40"/>
      <c r="BI41" s="40"/>
      <c r="BJ41" s="40"/>
      <c r="BK41" s="40"/>
      <c r="BL41" s="40">
        <f t="shared" si="2"/>
        <v>154280.09</v>
      </c>
      <c r="BM41" s="40"/>
    </row>
    <row r="42" spans="1:65" ht="13.5" thickBot="1">
      <c r="A42" s="36">
        <v>37</v>
      </c>
      <c r="B42" s="39" t="s">
        <v>56</v>
      </c>
      <c r="C42" s="39">
        <v>2145</v>
      </c>
      <c r="D42" s="39"/>
      <c r="E42" s="39">
        <f t="shared" si="20"/>
        <v>2145</v>
      </c>
      <c r="F42" s="39"/>
      <c r="G42" s="39"/>
      <c r="H42" s="39">
        <f t="shared" si="16"/>
        <v>0</v>
      </c>
      <c r="I42" s="39">
        <v>20007</v>
      </c>
      <c r="J42" s="39">
        <v>20007</v>
      </c>
      <c r="K42" s="39">
        <f t="shared" si="3"/>
        <v>0</v>
      </c>
      <c r="L42" s="39">
        <v>25095</v>
      </c>
      <c r="M42" s="39"/>
      <c r="N42" s="39">
        <f t="shared" si="17"/>
        <v>25095</v>
      </c>
      <c r="O42" s="39">
        <f>15347+55364</f>
        <v>70711</v>
      </c>
      <c r="P42" s="39"/>
      <c r="Q42" s="39">
        <f t="shared" si="4"/>
        <v>70711</v>
      </c>
      <c r="R42" s="39"/>
      <c r="S42" s="39"/>
      <c r="T42" s="39">
        <f t="shared" si="5"/>
        <v>0</v>
      </c>
      <c r="U42" s="39"/>
      <c r="V42" s="39"/>
      <c r="W42" s="39">
        <f t="shared" si="6"/>
        <v>0</v>
      </c>
      <c r="X42" s="39">
        <v>41024</v>
      </c>
      <c r="Y42" s="39"/>
      <c r="Z42" s="39">
        <f t="shared" si="7"/>
        <v>41024</v>
      </c>
      <c r="AA42" s="39"/>
      <c r="AB42" s="39"/>
      <c r="AC42" s="39">
        <f t="shared" si="8"/>
        <v>0</v>
      </c>
      <c r="AD42" s="39"/>
      <c r="AE42" s="39"/>
      <c r="AF42" s="39">
        <f t="shared" si="9"/>
        <v>0</v>
      </c>
      <c r="AG42" s="39"/>
      <c r="AH42" s="39"/>
      <c r="AI42" s="39">
        <f t="shared" si="10"/>
        <v>0</v>
      </c>
      <c r="AJ42" s="39"/>
      <c r="AK42" s="39"/>
      <c r="AL42" s="39">
        <f t="shared" si="11"/>
        <v>0</v>
      </c>
      <c r="AM42" s="39">
        <v>23173</v>
      </c>
      <c r="AN42" s="39">
        <v>7724</v>
      </c>
      <c r="AO42" s="39">
        <f t="shared" si="12"/>
        <v>15449</v>
      </c>
      <c r="AP42" s="39"/>
      <c r="AQ42" s="39"/>
      <c r="AR42" s="39">
        <f t="shared" si="13"/>
        <v>0</v>
      </c>
      <c r="AS42" s="39"/>
      <c r="AT42" s="39"/>
      <c r="AU42" s="39">
        <f t="shared" si="14"/>
        <v>0</v>
      </c>
      <c r="AV42" s="39"/>
      <c r="AW42" s="39"/>
      <c r="AX42" s="39">
        <f t="shared" si="15"/>
        <v>0</v>
      </c>
      <c r="AY42" s="39"/>
      <c r="AZ42" s="39"/>
      <c r="BA42" s="40">
        <f t="shared" si="18"/>
        <v>0</v>
      </c>
      <c r="BB42" s="40"/>
      <c r="BC42" s="40"/>
      <c r="BD42" s="40"/>
      <c r="BE42" s="40"/>
      <c r="BF42" s="55">
        <v>11901</v>
      </c>
      <c r="BG42" s="40">
        <v>91927.33</v>
      </c>
      <c r="BH42" s="40"/>
      <c r="BI42" s="40"/>
      <c r="BJ42" s="40"/>
      <c r="BK42" s="40"/>
      <c r="BL42" s="40">
        <f t="shared" si="2"/>
        <v>103828.33</v>
      </c>
      <c r="BM42" s="40"/>
    </row>
    <row r="43" spans="1:65" ht="13.5" thickBot="1">
      <c r="A43" s="33">
        <v>38</v>
      </c>
      <c r="B43" s="52" t="s">
        <v>57</v>
      </c>
      <c r="C43" s="39"/>
      <c r="D43" s="39"/>
      <c r="E43" s="39">
        <f t="shared" si="20"/>
        <v>0</v>
      </c>
      <c r="F43" s="39"/>
      <c r="G43" s="39"/>
      <c r="H43" s="39">
        <f t="shared" si="16"/>
        <v>0</v>
      </c>
      <c r="I43" s="39">
        <v>13338</v>
      </c>
      <c r="J43" s="39"/>
      <c r="K43" s="39">
        <f t="shared" si="3"/>
        <v>13338</v>
      </c>
      <c r="L43" s="39">
        <v>25095</v>
      </c>
      <c r="M43" s="39"/>
      <c r="N43" s="39">
        <f t="shared" si="17"/>
        <v>25095</v>
      </c>
      <c r="O43" s="39"/>
      <c r="P43" s="39"/>
      <c r="Q43" s="39">
        <f t="shared" si="4"/>
        <v>0</v>
      </c>
      <c r="R43" s="39"/>
      <c r="S43" s="39"/>
      <c r="T43" s="39">
        <f t="shared" si="5"/>
        <v>0</v>
      </c>
      <c r="U43" s="39"/>
      <c r="V43" s="39"/>
      <c r="W43" s="39">
        <f t="shared" si="6"/>
        <v>0</v>
      </c>
      <c r="X43" s="39"/>
      <c r="Y43" s="39"/>
      <c r="Z43" s="39">
        <f t="shared" si="7"/>
        <v>0</v>
      </c>
      <c r="AA43" s="39"/>
      <c r="AB43" s="39"/>
      <c r="AC43" s="39">
        <f t="shared" si="8"/>
        <v>0</v>
      </c>
      <c r="AD43" s="39"/>
      <c r="AE43" s="39"/>
      <c r="AF43" s="39">
        <f t="shared" si="9"/>
        <v>0</v>
      </c>
      <c r="AG43" s="39"/>
      <c r="AH43" s="39"/>
      <c r="AI43" s="39">
        <f t="shared" si="10"/>
        <v>0</v>
      </c>
      <c r="AJ43" s="39"/>
      <c r="AK43" s="39"/>
      <c r="AL43" s="39">
        <f t="shared" si="11"/>
        <v>0</v>
      </c>
      <c r="AM43" s="39">
        <v>18862</v>
      </c>
      <c r="AN43" s="39">
        <v>6287</v>
      </c>
      <c r="AO43" s="39">
        <f t="shared" si="12"/>
        <v>12575</v>
      </c>
      <c r="AP43" s="39"/>
      <c r="AQ43" s="39"/>
      <c r="AR43" s="39">
        <f t="shared" si="13"/>
        <v>0</v>
      </c>
      <c r="AS43" s="39"/>
      <c r="AT43" s="39"/>
      <c r="AU43" s="39">
        <f t="shared" si="14"/>
        <v>0</v>
      </c>
      <c r="AV43" s="39"/>
      <c r="AW43" s="39"/>
      <c r="AX43" s="39">
        <f t="shared" si="15"/>
        <v>0</v>
      </c>
      <c r="AY43" s="39"/>
      <c r="AZ43" s="39"/>
      <c r="BA43" s="40">
        <f t="shared" si="18"/>
        <v>0</v>
      </c>
      <c r="BB43" s="40"/>
      <c r="BC43" s="40"/>
      <c r="BD43" s="40"/>
      <c r="BE43" s="40"/>
      <c r="BF43" s="55">
        <v>-8251</v>
      </c>
      <c r="BG43" s="40">
        <v>69746.8</v>
      </c>
      <c r="BH43" s="40"/>
      <c r="BI43" s="40"/>
      <c r="BJ43" s="40"/>
      <c r="BK43" s="40"/>
      <c r="BL43" s="40">
        <f t="shared" si="2"/>
        <v>61495.8</v>
      </c>
      <c r="BM43" s="40"/>
    </row>
    <row r="44" spans="1:65" ht="13.5" thickBot="1">
      <c r="A44" s="36">
        <v>39</v>
      </c>
      <c r="B44" s="39" t="s">
        <v>58</v>
      </c>
      <c r="C44" s="39">
        <v>6930</v>
      </c>
      <c r="D44" s="39"/>
      <c r="E44" s="39">
        <f t="shared" si="20"/>
        <v>6930</v>
      </c>
      <c r="F44" s="39"/>
      <c r="G44" s="39"/>
      <c r="H44" s="39">
        <f t="shared" si="16"/>
        <v>0</v>
      </c>
      <c r="I44" s="39">
        <v>20007</v>
      </c>
      <c r="J44" s="39"/>
      <c r="K44" s="39">
        <f t="shared" si="3"/>
        <v>20007</v>
      </c>
      <c r="L44" s="39"/>
      <c r="M44" s="39"/>
      <c r="N44" s="39">
        <f t="shared" si="17"/>
        <v>0</v>
      </c>
      <c r="O44" s="39"/>
      <c r="P44" s="39"/>
      <c r="Q44" s="39">
        <f t="shared" si="4"/>
        <v>0</v>
      </c>
      <c r="R44" s="39"/>
      <c r="S44" s="39"/>
      <c r="T44" s="39">
        <f t="shared" si="5"/>
        <v>0</v>
      </c>
      <c r="U44" s="39"/>
      <c r="V44" s="39"/>
      <c r="W44" s="39">
        <f t="shared" si="6"/>
        <v>0</v>
      </c>
      <c r="X44" s="39">
        <v>30768</v>
      </c>
      <c r="Y44" s="39"/>
      <c r="Z44" s="39">
        <f t="shared" si="7"/>
        <v>30768</v>
      </c>
      <c r="AA44" s="39"/>
      <c r="AB44" s="39"/>
      <c r="AC44" s="39">
        <f t="shared" si="8"/>
        <v>0</v>
      </c>
      <c r="AD44" s="39">
        <v>105490</v>
      </c>
      <c r="AE44" s="39"/>
      <c r="AF44" s="39">
        <f t="shared" si="9"/>
        <v>105490</v>
      </c>
      <c r="AG44" s="39"/>
      <c r="AH44" s="39"/>
      <c r="AI44" s="39">
        <f t="shared" si="10"/>
        <v>0</v>
      </c>
      <c r="AJ44" s="39"/>
      <c r="AK44" s="39"/>
      <c r="AL44" s="39">
        <f t="shared" si="11"/>
        <v>0</v>
      </c>
      <c r="AM44" s="39">
        <v>25717</v>
      </c>
      <c r="AN44" s="39">
        <v>8572</v>
      </c>
      <c r="AO44" s="39">
        <f t="shared" si="12"/>
        <v>17145</v>
      </c>
      <c r="AP44" s="39"/>
      <c r="AQ44" s="39"/>
      <c r="AR44" s="39">
        <f t="shared" si="13"/>
        <v>0</v>
      </c>
      <c r="AS44" s="39"/>
      <c r="AT44" s="39"/>
      <c r="AU44" s="39">
        <f t="shared" si="14"/>
        <v>0</v>
      </c>
      <c r="AV44" s="39"/>
      <c r="AW44" s="39"/>
      <c r="AX44" s="39">
        <f t="shared" si="15"/>
        <v>0</v>
      </c>
      <c r="AY44" s="39"/>
      <c r="AZ44" s="39"/>
      <c r="BA44" s="40">
        <f t="shared" si="18"/>
        <v>0</v>
      </c>
      <c r="BB44" s="40"/>
      <c r="BC44" s="40"/>
      <c r="BD44" s="40"/>
      <c r="BE44" s="40"/>
      <c r="BF44" s="55">
        <v>28573</v>
      </c>
      <c r="BG44" s="40">
        <v>70544.12</v>
      </c>
      <c r="BH44" s="40"/>
      <c r="BI44" s="40"/>
      <c r="BJ44" s="40"/>
      <c r="BK44" s="40"/>
      <c r="BL44" s="40">
        <f t="shared" si="2"/>
        <v>99117.12</v>
      </c>
      <c r="BM44" s="40"/>
    </row>
    <row r="45" spans="1:65" ht="13.5" thickBot="1">
      <c r="A45" s="33">
        <v>40</v>
      </c>
      <c r="B45" s="52" t="s">
        <v>59</v>
      </c>
      <c r="C45" s="39"/>
      <c r="D45" s="39"/>
      <c r="E45" s="39">
        <f t="shared" si="20"/>
        <v>0</v>
      </c>
      <c r="F45" s="39"/>
      <c r="G45" s="39"/>
      <c r="H45" s="39">
        <f t="shared" si="16"/>
        <v>0</v>
      </c>
      <c r="I45" s="39"/>
      <c r="J45" s="39"/>
      <c r="K45" s="39">
        <f t="shared" si="3"/>
        <v>0</v>
      </c>
      <c r="L45" s="39"/>
      <c r="M45" s="39"/>
      <c r="N45" s="39">
        <f t="shared" si="17"/>
        <v>0</v>
      </c>
      <c r="O45" s="39"/>
      <c r="P45" s="39"/>
      <c r="Q45" s="39">
        <f t="shared" si="4"/>
        <v>0</v>
      </c>
      <c r="R45" s="39"/>
      <c r="S45" s="39"/>
      <c r="T45" s="39">
        <f t="shared" si="5"/>
        <v>0</v>
      </c>
      <c r="U45" s="39"/>
      <c r="V45" s="39"/>
      <c r="W45" s="39">
        <f t="shared" si="6"/>
        <v>0</v>
      </c>
      <c r="X45" s="39"/>
      <c r="Y45" s="39"/>
      <c r="Z45" s="39">
        <f t="shared" si="7"/>
        <v>0</v>
      </c>
      <c r="AA45" s="39">
        <v>336413</v>
      </c>
      <c r="AB45" s="39"/>
      <c r="AC45" s="39">
        <f t="shared" si="8"/>
        <v>336413</v>
      </c>
      <c r="AD45" s="39">
        <v>81158</v>
      </c>
      <c r="AE45" s="39"/>
      <c r="AF45" s="39">
        <f t="shared" si="9"/>
        <v>81158</v>
      </c>
      <c r="AG45" s="39"/>
      <c r="AH45" s="39"/>
      <c r="AI45" s="39">
        <f t="shared" si="10"/>
        <v>0</v>
      </c>
      <c r="AJ45" s="39"/>
      <c r="AK45" s="39"/>
      <c r="AL45" s="39">
        <f t="shared" si="11"/>
        <v>0</v>
      </c>
      <c r="AM45" s="39">
        <v>23049</v>
      </c>
      <c r="AN45" s="39">
        <v>7683</v>
      </c>
      <c r="AO45" s="39">
        <f t="shared" si="12"/>
        <v>15366</v>
      </c>
      <c r="AP45" s="39"/>
      <c r="AQ45" s="39"/>
      <c r="AR45" s="39">
        <f t="shared" si="13"/>
        <v>0</v>
      </c>
      <c r="AS45" s="39"/>
      <c r="AT45" s="39"/>
      <c r="AU45" s="39">
        <f t="shared" si="14"/>
        <v>0</v>
      </c>
      <c r="AV45" s="39"/>
      <c r="AW45" s="39"/>
      <c r="AX45" s="39">
        <f t="shared" si="15"/>
        <v>0</v>
      </c>
      <c r="AY45" s="39"/>
      <c r="AZ45" s="39"/>
      <c r="BA45" s="40">
        <f t="shared" si="18"/>
        <v>0</v>
      </c>
      <c r="BB45" s="40"/>
      <c r="BC45" s="40"/>
      <c r="BD45" s="40"/>
      <c r="BE45" s="40"/>
      <c r="BF45" s="55">
        <v>76193</v>
      </c>
      <c r="BG45" s="40">
        <v>82726.31</v>
      </c>
      <c r="BH45" s="40"/>
      <c r="BI45" s="40"/>
      <c r="BJ45" s="76">
        <v>300000</v>
      </c>
      <c r="BK45" s="40"/>
      <c r="BL45" s="40">
        <f t="shared" si="2"/>
        <v>458919.31</v>
      </c>
      <c r="BM45" s="40"/>
    </row>
    <row r="46" spans="1:65" ht="13.5" thickBot="1">
      <c r="A46" s="36">
        <v>41</v>
      </c>
      <c r="B46" s="39" t="s">
        <v>60</v>
      </c>
      <c r="C46" s="39">
        <v>31425</v>
      </c>
      <c r="D46" s="39"/>
      <c r="E46" s="39">
        <f t="shared" si="20"/>
        <v>31425</v>
      </c>
      <c r="F46" s="39"/>
      <c r="G46" s="39"/>
      <c r="H46" s="39">
        <f t="shared" si="16"/>
        <v>0</v>
      </c>
      <c r="I46" s="39">
        <v>20007</v>
      </c>
      <c r="J46" s="39"/>
      <c r="K46" s="39">
        <f t="shared" si="3"/>
        <v>20007</v>
      </c>
      <c r="L46" s="39">
        <v>50190</v>
      </c>
      <c r="M46" s="39"/>
      <c r="N46" s="39">
        <f t="shared" si="17"/>
        <v>50190</v>
      </c>
      <c r="O46" s="39"/>
      <c r="P46" s="39"/>
      <c r="Q46" s="39">
        <f t="shared" si="4"/>
        <v>0</v>
      </c>
      <c r="R46" s="39"/>
      <c r="S46" s="39"/>
      <c r="T46" s="39">
        <f t="shared" si="5"/>
        <v>0</v>
      </c>
      <c r="U46" s="39">
        <v>207752</v>
      </c>
      <c r="V46" s="39"/>
      <c r="W46" s="39">
        <f t="shared" si="6"/>
        <v>207752</v>
      </c>
      <c r="X46" s="39">
        <v>30768</v>
      </c>
      <c r="Y46" s="39"/>
      <c r="Z46" s="39">
        <f t="shared" si="7"/>
        <v>30768</v>
      </c>
      <c r="AA46" s="39"/>
      <c r="AB46" s="39"/>
      <c r="AC46" s="39">
        <f t="shared" si="8"/>
        <v>0</v>
      </c>
      <c r="AD46" s="39">
        <v>94402</v>
      </c>
      <c r="AE46" s="39"/>
      <c r="AF46" s="39">
        <f t="shared" si="9"/>
        <v>94402</v>
      </c>
      <c r="AG46" s="39"/>
      <c r="AH46" s="39"/>
      <c r="AI46" s="39">
        <f t="shared" si="10"/>
        <v>0</v>
      </c>
      <c r="AJ46" s="39"/>
      <c r="AK46" s="39"/>
      <c r="AL46" s="39">
        <f t="shared" si="11"/>
        <v>0</v>
      </c>
      <c r="AM46" s="39">
        <v>29503</v>
      </c>
      <c r="AN46" s="39">
        <v>9834</v>
      </c>
      <c r="AO46" s="39">
        <f t="shared" si="12"/>
        <v>19669</v>
      </c>
      <c r="AP46" s="39"/>
      <c r="AQ46" s="39"/>
      <c r="AR46" s="39">
        <f t="shared" si="13"/>
        <v>0</v>
      </c>
      <c r="AS46" s="39"/>
      <c r="AT46" s="39"/>
      <c r="AU46" s="39">
        <f t="shared" si="14"/>
        <v>0</v>
      </c>
      <c r="AV46" s="39"/>
      <c r="AW46" s="39"/>
      <c r="AX46" s="39">
        <f t="shared" si="15"/>
        <v>0</v>
      </c>
      <c r="AY46" s="39"/>
      <c r="AZ46" s="39"/>
      <c r="BA46" s="40">
        <f t="shared" si="18"/>
        <v>0</v>
      </c>
      <c r="BB46" s="40"/>
      <c r="BC46" s="40"/>
      <c r="BD46" s="40"/>
      <c r="BE46" s="40"/>
      <c r="BF46" s="55">
        <v>-28204</v>
      </c>
      <c r="BG46" s="40">
        <v>67443.01</v>
      </c>
      <c r="BH46" s="40"/>
      <c r="BI46" s="40"/>
      <c r="BJ46" s="40"/>
      <c r="BK46" s="40"/>
      <c r="BL46" s="40">
        <f t="shared" si="2"/>
        <v>39239.009999999995</v>
      </c>
      <c r="BM46" s="40"/>
    </row>
    <row r="47" spans="1:65" ht="13.5" thickBot="1">
      <c r="A47" s="33">
        <v>42</v>
      </c>
      <c r="B47" s="52" t="s">
        <v>61</v>
      </c>
      <c r="C47" s="39"/>
      <c r="D47" s="39"/>
      <c r="E47" s="39">
        <f t="shared" si="20"/>
        <v>0</v>
      </c>
      <c r="F47" s="39"/>
      <c r="G47" s="39"/>
      <c r="H47" s="39">
        <f t="shared" si="16"/>
        <v>0</v>
      </c>
      <c r="I47" s="39"/>
      <c r="J47" s="39"/>
      <c r="K47" s="39">
        <f t="shared" si="3"/>
        <v>0</v>
      </c>
      <c r="L47" s="39">
        <v>50190</v>
      </c>
      <c r="M47" s="39"/>
      <c r="N47" s="39">
        <f t="shared" si="17"/>
        <v>50190</v>
      </c>
      <c r="O47" s="39"/>
      <c r="P47" s="39"/>
      <c r="Q47" s="39">
        <f t="shared" si="4"/>
        <v>0</v>
      </c>
      <c r="R47" s="39"/>
      <c r="S47" s="39"/>
      <c r="T47" s="39">
        <f t="shared" si="5"/>
        <v>0</v>
      </c>
      <c r="U47" s="39"/>
      <c r="V47" s="39"/>
      <c r="W47" s="39">
        <f t="shared" si="6"/>
        <v>0</v>
      </c>
      <c r="X47" s="39">
        <v>30768</v>
      </c>
      <c r="Y47" s="39"/>
      <c r="Z47" s="39">
        <f t="shared" si="7"/>
        <v>30768</v>
      </c>
      <c r="AA47" s="39"/>
      <c r="AB47" s="39"/>
      <c r="AC47" s="39">
        <f t="shared" si="8"/>
        <v>0</v>
      </c>
      <c r="AD47" s="39">
        <v>100870</v>
      </c>
      <c r="AE47" s="39"/>
      <c r="AF47" s="39">
        <f t="shared" si="9"/>
        <v>100870</v>
      </c>
      <c r="AG47" s="39"/>
      <c r="AH47" s="39"/>
      <c r="AI47" s="39">
        <f t="shared" si="10"/>
        <v>0</v>
      </c>
      <c r="AJ47" s="39"/>
      <c r="AK47" s="39"/>
      <c r="AL47" s="39">
        <f t="shared" si="11"/>
        <v>0</v>
      </c>
      <c r="AM47" s="39">
        <v>25952</v>
      </c>
      <c r="AN47" s="39">
        <v>8651</v>
      </c>
      <c r="AO47" s="39">
        <f t="shared" si="12"/>
        <v>17301</v>
      </c>
      <c r="AP47" s="39"/>
      <c r="AQ47" s="39"/>
      <c r="AR47" s="39">
        <f t="shared" si="13"/>
        <v>0</v>
      </c>
      <c r="AS47" s="39"/>
      <c r="AT47" s="39"/>
      <c r="AU47" s="39">
        <f t="shared" si="14"/>
        <v>0</v>
      </c>
      <c r="AV47" s="39"/>
      <c r="AW47" s="39"/>
      <c r="AX47" s="39">
        <f t="shared" si="15"/>
        <v>0</v>
      </c>
      <c r="AY47" s="39"/>
      <c r="AZ47" s="39"/>
      <c r="BA47" s="40">
        <f t="shared" si="18"/>
        <v>0</v>
      </c>
      <c r="BB47" s="40"/>
      <c r="BC47" s="40"/>
      <c r="BD47" s="40"/>
      <c r="BE47" s="40"/>
      <c r="BF47" s="55">
        <v>16857</v>
      </c>
      <c r="BG47" s="40">
        <v>73170.72</v>
      </c>
      <c r="BH47" s="40"/>
      <c r="BI47" s="40"/>
      <c r="BJ47" s="40"/>
      <c r="BK47" s="40">
        <v>67452</v>
      </c>
      <c r="BL47" s="75">
        <f>(BF47+BG47+BH47+BI47+BJ47+BK47)</f>
        <v>157479.72</v>
      </c>
      <c r="BM47" s="40"/>
    </row>
    <row r="48" spans="1:65" ht="13.5" thickBot="1">
      <c r="A48" s="36">
        <v>43</v>
      </c>
      <c r="B48" s="39" t="s">
        <v>62</v>
      </c>
      <c r="C48" s="39"/>
      <c r="D48" s="39"/>
      <c r="E48" s="39">
        <f t="shared" si="20"/>
        <v>0</v>
      </c>
      <c r="F48" s="39"/>
      <c r="G48" s="39"/>
      <c r="H48" s="39">
        <f t="shared" si="16"/>
        <v>0</v>
      </c>
      <c r="I48" s="39"/>
      <c r="J48" s="39"/>
      <c r="K48" s="39">
        <f t="shared" si="3"/>
        <v>0</v>
      </c>
      <c r="L48" s="39"/>
      <c r="M48" s="39"/>
      <c r="N48" s="39">
        <f t="shared" si="17"/>
        <v>0</v>
      </c>
      <c r="O48" s="39"/>
      <c r="P48" s="39"/>
      <c r="Q48" s="39">
        <f t="shared" si="4"/>
        <v>0</v>
      </c>
      <c r="R48" s="39"/>
      <c r="S48" s="39"/>
      <c r="T48" s="39">
        <f t="shared" si="5"/>
        <v>0</v>
      </c>
      <c r="U48" s="39"/>
      <c r="V48" s="39"/>
      <c r="W48" s="39">
        <f t="shared" si="6"/>
        <v>0</v>
      </c>
      <c r="X48" s="39"/>
      <c r="Y48" s="39"/>
      <c r="Z48" s="39">
        <f t="shared" si="7"/>
        <v>0</v>
      </c>
      <c r="AA48" s="39"/>
      <c r="AB48" s="39"/>
      <c r="AC48" s="39">
        <f t="shared" si="8"/>
        <v>0</v>
      </c>
      <c r="AD48" s="39">
        <v>15015</v>
      </c>
      <c r="AE48" s="39"/>
      <c r="AF48" s="39">
        <f t="shared" si="9"/>
        <v>15015</v>
      </c>
      <c r="AG48" s="39"/>
      <c r="AH48" s="39"/>
      <c r="AI48" s="39">
        <f t="shared" si="10"/>
        <v>0</v>
      </c>
      <c r="AJ48" s="39"/>
      <c r="AK48" s="39"/>
      <c r="AL48" s="39">
        <f t="shared" si="11"/>
        <v>0</v>
      </c>
      <c r="AM48" s="39">
        <v>3872</v>
      </c>
      <c r="AN48" s="39">
        <v>1291</v>
      </c>
      <c r="AO48" s="39">
        <f t="shared" si="12"/>
        <v>2581</v>
      </c>
      <c r="AP48" s="39"/>
      <c r="AQ48" s="39"/>
      <c r="AR48" s="39">
        <f t="shared" si="13"/>
        <v>0</v>
      </c>
      <c r="AS48" s="39"/>
      <c r="AT48" s="39"/>
      <c r="AU48" s="39">
        <f t="shared" si="14"/>
        <v>0</v>
      </c>
      <c r="AV48" s="39"/>
      <c r="AW48" s="39"/>
      <c r="AX48" s="39">
        <f t="shared" si="15"/>
        <v>0</v>
      </c>
      <c r="AY48" s="39"/>
      <c r="AZ48" s="39"/>
      <c r="BA48" s="40">
        <f t="shared" si="18"/>
        <v>0</v>
      </c>
      <c r="BB48" s="40"/>
      <c r="BC48" s="40"/>
      <c r="BD48" s="40"/>
      <c r="BE48" s="40"/>
      <c r="BF48" s="55">
        <v>41456</v>
      </c>
      <c r="BG48" s="40">
        <v>63322.31</v>
      </c>
      <c r="BH48" s="40">
        <v>2194.8</v>
      </c>
      <c r="BI48" s="40"/>
      <c r="BJ48" s="40"/>
      <c r="BK48" s="40"/>
      <c r="BL48" s="40">
        <f t="shared" si="2"/>
        <v>106973.11</v>
      </c>
      <c r="BM48" s="40"/>
    </row>
    <row r="49" spans="1:65" ht="13.5" thickBot="1">
      <c r="A49" s="33">
        <v>44</v>
      </c>
      <c r="B49" s="52" t="s">
        <v>63</v>
      </c>
      <c r="C49" s="39">
        <v>12600</v>
      </c>
      <c r="D49" s="39"/>
      <c r="E49" s="39">
        <f t="shared" si="20"/>
        <v>12600</v>
      </c>
      <c r="F49" s="39"/>
      <c r="G49" s="39"/>
      <c r="H49" s="39">
        <f t="shared" si="16"/>
        <v>0</v>
      </c>
      <c r="I49" s="39">
        <v>8892</v>
      </c>
      <c r="J49" s="39"/>
      <c r="K49" s="39">
        <f t="shared" si="3"/>
        <v>8892</v>
      </c>
      <c r="L49" s="39">
        <v>8365</v>
      </c>
      <c r="M49" s="39"/>
      <c r="N49" s="39">
        <f t="shared" si="17"/>
        <v>8365</v>
      </c>
      <c r="O49" s="39"/>
      <c r="P49" s="39"/>
      <c r="Q49" s="39">
        <f t="shared" si="4"/>
        <v>0</v>
      </c>
      <c r="R49" s="39"/>
      <c r="S49" s="39"/>
      <c r="T49" s="39">
        <f t="shared" si="5"/>
        <v>0</v>
      </c>
      <c r="U49" s="39"/>
      <c r="V49" s="39"/>
      <c r="W49" s="39">
        <f t="shared" si="6"/>
        <v>0</v>
      </c>
      <c r="X49" s="39">
        <f>1675+27079+27540</f>
        <v>56294</v>
      </c>
      <c r="Y49" s="39"/>
      <c r="Z49" s="39">
        <f t="shared" si="7"/>
        <v>56294</v>
      </c>
      <c r="AA49" s="39"/>
      <c r="AB49" s="39"/>
      <c r="AC49" s="39">
        <f t="shared" si="8"/>
        <v>0</v>
      </c>
      <c r="AD49" s="39">
        <v>7700</v>
      </c>
      <c r="AE49" s="39"/>
      <c r="AF49" s="39">
        <f t="shared" si="9"/>
        <v>7700</v>
      </c>
      <c r="AG49" s="39"/>
      <c r="AH49" s="39"/>
      <c r="AI49" s="39">
        <f t="shared" si="10"/>
        <v>0</v>
      </c>
      <c r="AJ49" s="39"/>
      <c r="AK49" s="39"/>
      <c r="AL49" s="39">
        <f t="shared" si="11"/>
        <v>0</v>
      </c>
      <c r="AM49" s="39">
        <v>16018</v>
      </c>
      <c r="AN49" s="39">
        <v>5339</v>
      </c>
      <c r="AO49" s="39">
        <f t="shared" si="12"/>
        <v>10679</v>
      </c>
      <c r="AP49" s="39"/>
      <c r="AQ49" s="39"/>
      <c r="AR49" s="39">
        <f t="shared" si="13"/>
        <v>0</v>
      </c>
      <c r="AS49" s="39">
        <v>71036</v>
      </c>
      <c r="AT49" s="39"/>
      <c r="AU49" s="39">
        <f t="shared" si="14"/>
        <v>71036</v>
      </c>
      <c r="AV49" s="39"/>
      <c r="AW49" s="39"/>
      <c r="AX49" s="39">
        <f t="shared" si="15"/>
        <v>0</v>
      </c>
      <c r="AY49" s="39"/>
      <c r="AZ49" s="39"/>
      <c r="BA49" s="40">
        <f t="shared" si="18"/>
        <v>0</v>
      </c>
      <c r="BB49" s="40"/>
      <c r="BC49" s="40"/>
      <c r="BD49" s="40"/>
      <c r="BE49" s="40"/>
      <c r="BF49" s="55">
        <v>1996</v>
      </c>
      <c r="BG49" s="40">
        <v>81301</v>
      </c>
      <c r="BH49" s="40">
        <v>21860.21</v>
      </c>
      <c r="BI49" s="40">
        <v>388.08</v>
      </c>
      <c r="BJ49" s="40">
        <v>25523.4</v>
      </c>
      <c r="BK49" s="40"/>
      <c r="BL49" s="40">
        <f t="shared" si="2"/>
        <v>131068.69</v>
      </c>
      <c r="BM49" s="40"/>
    </row>
    <row r="50" spans="1:65" ht="13.5" thickBot="1">
      <c r="A50" s="36">
        <v>45</v>
      </c>
      <c r="B50" s="39" t="s">
        <v>64</v>
      </c>
      <c r="C50" s="39">
        <v>8694</v>
      </c>
      <c r="D50" s="39"/>
      <c r="E50" s="39">
        <f t="shared" si="20"/>
        <v>8694</v>
      </c>
      <c r="F50" s="39"/>
      <c r="G50" s="39"/>
      <c r="H50" s="39">
        <f t="shared" si="16"/>
        <v>0</v>
      </c>
      <c r="I50" s="39">
        <v>8892</v>
      </c>
      <c r="J50" s="39"/>
      <c r="K50" s="39">
        <f t="shared" si="3"/>
        <v>8892</v>
      </c>
      <c r="L50" s="39">
        <v>8365</v>
      </c>
      <c r="M50" s="39"/>
      <c r="N50" s="39">
        <f t="shared" si="17"/>
        <v>8365</v>
      </c>
      <c r="O50" s="39"/>
      <c r="P50" s="39"/>
      <c r="Q50" s="39">
        <f t="shared" si="4"/>
        <v>0</v>
      </c>
      <c r="R50" s="39"/>
      <c r="S50" s="39"/>
      <c r="T50" s="39">
        <f t="shared" si="5"/>
        <v>0</v>
      </c>
      <c r="U50" s="39"/>
      <c r="V50" s="39"/>
      <c r="W50" s="39">
        <f t="shared" si="6"/>
        <v>0</v>
      </c>
      <c r="X50" s="39">
        <f>27079+1675</f>
        <v>28754</v>
      </c>
      <c r="Y50" s="39"/>
      <c r="Z50" s="39">
        <f t="shared" si="7"/>
        <v>28754</v>
      </c>
      <c r="AA50" s="39"/>
      <c r="AB50" s="39"/>
      <c r="AC50" s="39">
        <f t="shared" si="8"/>
        <v>0</v>
      </c>
      <c r="AD50" s="39"/>
      <c r="AE50" s="39"/>
      <c r="AF50" s="39">
        <f t="shared" si="9"/>
        <v>0</v>
      </c>
      <c r="AG50" s="39"/>
      <c r="AH50" s="39"/>
      <c r="AI50" s="39">
        <f t="shared" si="10"/>
        <v>0</v>
      </c>
      <c r="AJ50" s="39"/>
      <c r="AK50" s="39"/>
      <c r="AL50" s="39">
        <f t="shared" si="11"/>
        <v>0</v>
      </c>
      <c r="AM50" s="39">
        <v>4631</v>
      </c>
      <c r="AN50" s="39">
        <v>1544</v>
      </c>
      <c r="AO50" s="39">
        <f t="shared" si="12"/>
        <v>3087</v>
      </c>
      <c r="AP50" s="39"/>
      <c r="AQ50" s="39"/>
      <c r="AR50" s="39">
        <f t="shared" si="13"/>
        <v>0</v>
      </c>
      <c r="AS50" s="39">
        <v>91332</v>
      </c>
      <c r="AT50" s="39"/>
      <c r="AU50" s="39">
        <f t="shared" si="14"/>
        <v>91332</v>
      </c>
      <c r="AV50" s="39"/>
      <c r="AW50" s="39"/>
      <c r="AX50" s="39">
        <f t="shared" si="15"/>
        <v>0</v>
      </c>
      <c r="AY50" s="39"/>
      <c r="AZ50" s="39"/>
      <c r="BA50" s="40">
        <f t="shared" si="18"/>
        <v>0</v>
      </c>
      <c r="BB50" s="40"/>
      <c r="BC50" s="40"/>
      <c r="BD50" s="40"/>
      <c r="BE50" s="40"/>
      <c r="BF50" s="55">
        <v>-22525</v>
      </c>
      <c r="BG50" s="40">
        <v>84164.85</v>
      </c>
      <c r="BH50" s="40">
        <v>6584.4</v>
      </c>
      <c r="BI50" s="40">
        <v>2130.91</v>
      </c>
      <c r="BJ50" s="40"/>
      <c r="BK50" s="40"/>
      <c r="BL50" s="40">
        <f t="shared" si="2"/>
        <v>70355.16</v>
      </c>
      <c r="BM50" s="40"/>
    </row>
    <row r="51" spans="1:65" ht="13.5" thickBot="1">
      <c r="A51" s="33">
        <v>46</v>
      </c>
      <c r="B51" s="52" t="s">
        <v>65</v>
      </c>
      <c r="C51" s="39">
        <v>57810</v>
      </c>
      <c r="D51" s="39"/>
      <c r="E51" s="39">
        <f t="shared" si="20"/>
        <v>57810</v>
      </c>
      <c r="F51" s="39"/>
      <c r="G51" s="39"/>
      <c r="H51" s="39">
        <f t="shared" si="16"/>
        <v>0</v>
      </c>
      <c r="I51" s="39">
        <v>8892</v>
      </c>
      <c r="J51" s="39"/>
      <c r="K51" s="39">
        <f t="shared" si="3"/>
        <v>8892</v>
      </c>
      <c r="L51" s="39"/>
      <c r="M51" s="39"/>
      <c r="N51" s="39">
        <f t="shared" si="17"/>
        <v>0</v>
      </c>
      <c r="O51" s="39"/>
      <c r="P51" s="39"/>
      <c r="Q51" s="39">
        <f t="shared" si="4"/>
        <v>0</v>
      </c>
      <c r="R51" s="39"/>
      <c r="S51" s="39"/>
      <c r="T51" s="39">
        <f t="shared" si="5"/>
        <v>0</v>
      </c>
      <c r="U51" s="39"/>
      <c r="V51" s="39"/>
      <c r="W51" s="39">
        <f t="shared" si="6"/>
        <v>0</v>
      </c>
      <c r="X51" s="39">
        <f>1675+27079</f>
        <v>28754</v>
      </c>
      <c r="Y51" s="39"/>
      <c r="Z51" s="39">
        <f t="shared" si="7"/>
        <v>28754</v>
      </c>
      <c r="AA51" s="39"/>
      <c r="AB51" s="39"/>
      <c r="AC51" s="39">
        <f t="shared" si="8"/>
        <v>0</v>
      </c>
      <c r="AD51" s="39"/>
      <c r="AE51" s="39"/>
      <c r="AF51" s="39">
        <f t="shared" si="9"/>
        <v>0</v>
      </c>
      <c r="AG51" s="39"/>
      <c r="AH51" s="39"/>
      <c r="AI51" s="39">
        <f t="shared" si="10"/>
        <v>0</v>
      </c>
      <c r="AJ51" s="39"/>
      <c r="AK51" s="39"/>
      <c r="AL51" s="39">
        <f t="shared" si="11"/>
        <v>0</v>
      </c>
      <c r="AM51" s="39">
        <v>3607</v>
      </c>
      <c r="AN51" s="39">
        <v>3607</v>
      </c>
      <c r="AO51" s="39">
        <f t="shared" si="12"/>
        <v>0</v>
      </c>
      <c r="AP51" s="39"/>
      <c r="AQ51" s="39"/>
      <c r="AR51" s="39">
        <f t="shared" si="13"/>
        <v>0</v>
      </c>
      <c r="AS51" s="39">
        <v>81184</v>
      </c>
      <c r="AT51" s="39"/>
      <c r="AU51" s="39">
        <f t="shared" si="14"/>
        <v>81184</v>
      </c>
      <c r="AV51" s="39"/>
      <c r="AW51" s="39"/>
      <c r="AX51" s="39">
        <f t="shared" si="15"/>
        <v>0</v>
      </c>
      <c r="AY51" s="39"/>
      <c r="AZ51" s="39"/>
      <c r="BA51" s="40">
        <f t="shared" si="18"/>
        <v>0</v>
      </c>
      <c r="BB51" s="40"/>
      <c r="BC51" s="40"/>
      <c r="BD51" s="40"/>
      <c r="BE51" s="40"/>
      <c r="BF51" s="55">
        <v>-7874</v>
      </c>
      <c r="BG51" s="40">
        <v>80170.27</v>
      </c>
      <c r="BH51" s="40">
        <v>21684.62</v>
      </c>
      <c r="BI51" s="40">
        <v>2700.68</v>
      </c>
      <c r="BJ51" s="40"/>
      <c r="BK51" s="40"/>
      <c r="BL51" s="40">
        <f t="shared" si="2"/>
        <v>96681.56999999999</v>
      </c>
      <c r="BM51" s="40"/>
    </row>
    <row r="52" spans="1:65" ht="13.5" thickBot="1">
      <c r="A52" s="36">
        <v>47</v>
      </c>
      <c r="B52" s="39" t="s">
        <v>66</v>
      </c>
      <c r="C52" s="39">
        <v>41370</v>
      </c>
      <c r="D52" s="39"/>
      <c r="E52" s="39">
        <f t="shared" si="20"/>
        <v>41370</v>
      </c>
      <c r="F52" s="39"/>
      <c r="G52" s="39"/>
      <c r="H52" s="39">
        <f t="shared" si="16"/>
        <v>0</v>
      </c>
      <c r="I52" s="39">
        <v>8892</v>
      </c>
      <c r="J52" s="39"/>
      <c r="K52" s="39">
        <f t="shared" si="3"/>
        <v>8892</v>
      </c>
      <c r="L52" s="39">
        <v>8365</v>
      </c>
      <c r="M52" s="39"/>
      <c r="N52" s="39">
        <f t="shared" si="17"/>
        <v>8365</v>
      </c>
      <c r="O52" s="39">
        <v>48000</v>
      </c>
      <c r="P52" s="39"/>
      <c r="Q52" s="39">
        <f t="shared" si="4"/>
        <v>48000</v>
      </c>
      <c r="R52" s="39">
        <v>25612</v>
      </c>
      <c r="S52" s="39"/>
      <c r="T52" s="39">
        <f t="shared" si="5"/>
        <v>25612</v>
      </c>
      <c r="U52" s="39"/>
      <c r="V52" s="39"/>
      <c r="W52" s="39">
        <f t="shared" si="6"/>
        <v>0</v>
      </c>
      <c r="X52" s="39">
        <f>1675+27079</f>
        <v>28754</v>
      </c>
      <c r="Y52" s="39"/>
      <c r="Z52" s="39">
        <f t="shared" si="7"/>
        <v>28754</v>
      </c>
      <c r="AA52" s="39"/>
      <c r="AB52" s="39"/>
      <c r="AC52" s="39">
        <f t="shared" si="8"/>
        <v>0</v>
      </c>
      <c r="AD52" s="39">
        <v>5390</v>
      </c>
      <c r="AE52" s="39"/>
      <c r="AF52" s="39">
        <f t="shared" si="9"/>
        <v>5390</v>
      </c>
      <c r="AG52" s="39"/>
      <c r="AH52" s="39"/>
      <c r="AI52" s="39">
        <f t="shared" si="10"/>
        <v>0</v>
      </c>
      <c r="AJ52" s="39"/>
      <c r="AK52" s="39"/>
      <c r="AL52" s="39">
        <f t="shared" si="11"/>
        <v>0</v>
      </c>
      <c r="AM52" s="39">
        <v>2476</v>
      </c>
      <c r="AN52" s="39">
        <v>825</v>
      </c>
      <c r="AO52" s="39">
        <f t="shared" si="12"/>
        <v>1651</v>
      </c>
      <c r="AP52" s="39"/>
      <c r="AQ52" s="39"/>
      <c r="AR52" s="39">
        <f t="shared" si="13"/>
        <v>0</v>
      </c>
      <c r="AS52" s="39">
        <v>91332</v>
      </c>
      <c r="AT52" s="39"/>
      <c r="AU52" s="39">
        <f t="shared" si="14"/>
        <v>91332</v>
      </c>
      <c r="AV52" s="39"/>
      <c r="AW52" s="39"/>
      <c r="AX52" s="39">
        <f t="shared" si="15"/>
        <v>0</v>
      </c>
      <c r="AY52" s="39"/>
      <c r="AZ52" s="39"/>
      <c r="BA52" s="40">
        <f t="shared" si="18"/>
        <v>0</v>
      </c>
      <c r="BB52" s="40"/>
      <c r="BC52" s="40"/>
      <c r="BD52" s="40"/>
      <c r="BE52" s="40"/>
      <c r="BF52" s="55">
        <v>-41222</v>
      </c>
      <c r="BG52" s="40">
        <v>84269.81</v>
      </c>
      <c r="BH52" s="40">
        <v>11983.61</v>
      </c>
      <c r="BI52" s="40">
        <v>1425.31</v>
      </c>
      <c r="BJ52" s="40"/>
      <c r="BK52" s="40"/>
      <c r="BL52" s="40">
        <f t="shared" si="2"/>
        <v>56456.729999999996</v>
      </c>
      <c r="BM52" s="40"/>
    </row>
    <row r="53" spans="1:65" ht="13.5" thickBot="1">
      <c r="A53" s="33">
        <v>48</v>
      </c>
      <c r="B53" s="52" t="s">
        <v>67</v>
      </c>
      <c r="C53" s="39">
        <f>16548+5040</f>
        <v>21588</v>
      </c>
      <c r="D53" s="39"/>
      <c r="E53" s="39">
        <f t="shared" si="20"/>
        <v>21588</v>
      </c>
      <c r="F53" s="39"/>
      <c r="G53" s="39"/>
      <c r="H53" s="39">
        <f t="shared" si="16"/>
        <v>0</v>
      </c>
      <c r="I53" s="39">
        <v>8892</v>
      </c>
      <c r="J53" s="39"/>
      <c r="K53" s="39">
        <f t="shared" si="3"/>
        <v>8892</v>
      </c>
      <c r="L53" s="39"/>
      <c r="M53" s="39"/>
      <c r="N53" s="39">
        <f t="shared" si="17"/>
        <v>0</v>
      </c>
      <c r="O53" s="39"/>
      <c r="P53" s="39"/>
      <c r="Q53" s="39">
        <f t="shared" si="4"/>
        <v>0</v>
      </c>
      <c r="R53" s="39">
        <v>25612</v>
      </c>
      <c r="S53" s="39"/>
      <c r="T53" s="39">
        <f t="shared" si="5"/>
        <v>25612</v>
      </c>
      <c r="U53" s="39"/>
      <c r="V53" s="39"/>
      <c r="W53" s="39">
        <f t="shared" si="6"/>
        <v>0</v>
      </c>
      <c r="X53" s="39">
        <f>1675+19137</f>
        <v>20812</v>
      </c>
      <c r="Y53" s="39"/>
      <c r="Z53" s="39">
        <f t="shared" si="7"/>
        <v>20812</v>
      </c>
      <c r="AA53" s="39"/>
      <c r="AB53" s="39"/>
      <c r="AC53" s="39">
        <f t="shared" si="8"/>
        <v>0</v>
      </c>
      <c r="AD53" s="39"/>
      <c r="AE53" s="39"/>
      <c r="AF53" s="39">
        <f t="shared" si="9"/>
        <v>0</v>
      </c>
      <c r="AG53" s="39"/>
      <c r="AH53" s="39"/>
      <c r="AI53" s="39">
        <f t="shared" si="10"/>
        <v>0</v>
      </c>
      <c r="AJ53" s="39"/>
      <c r="AK53" s="39"/>
      <c r="AL53" s="39">
        <f t="shared" si="11"/>
        <v>0</v>
      </c>
      <c r="AM53" s="39">
        <v>11615</v>
      </c>
      <c r="AN53" s="39">
        <v>3872</v>
      </c>
      <c r="AO53" s="39">
        <f t="shared" si="12"/>
        <v>7743</v>
      </c>
      <c r="AP53" s="39"/>
      <c r="AQ53" s="39"/>
      <c r="AR53" s="39">
        <f t="shared" si="13"/>
        <v>0</v>
      </c>
      <c r="AS53" s="39">
        <v>91332</v>
      </c>
      <c r="AT53" s="39"/>
      <c r="AU53" s="39">
        <f t="shared" si="14"/>
        <v>91332</v>
      </c>
      <c r="AV53" s="39"/>
      <c r="AW53" s="39"/>
      <c r="AX53" s="39">
        <f t="shared" si="15"/>
        <v>0</v>
      </c>
      <c r="AY53" s="39"/>
      <c r="AZ53" s="39"/>
      <c r="BA53" s="40">
        <f t="shared" si="18"/>
        <v>0</v>
      </c>
      <c r="BB53" s="40"/>
      <c r="BC53" s="40"/>
      <c r="BD53" s="40"/>
      <c r="BE53" s="40"/>
      <c r="BF53" s="55">
        <v>44414</v>
      </c>
      <c r="BG53" s="40">
        <v>82010.12</v>
      </c>
      <c r="BH53" s="40">
        <v>49602.48</v>
      </c>
      <c r="BI53" s="40">
        <v>1642.28</v>
      </c>
      <c r="BJ53" s="40"/>
      <c r="BK53" s="40"/>
      <c r="BL53" s="40">
        <f t="shared" si="2"/>
        <v>177668.88</v>
      </c>
      <c r="BM53" s="40"/>
    </row>
    <row r="54" spans="1:65" ht="13.5" thickBot="1">
      <c r="A54" s="61">
        <v>49</v>
      </c>
      <c r="B54" s="60" t="s">
        <v>68</v>
      </c>
      <c r="C54" s="60">
        <v>16680</v>
      </c>
      <c r="D54" s="60">
        <v>16680</v>
      </c>
      <c r="E54" s="60">
        <f t="shared" si="20"/>
        <v>0</v>
      </c>
      <c r="F54" s="60">
        <v>78324</v>
      </c>
      <c r="G54" s="60">
        <v>78324</v>
      </c>
      <c r="H54" s="60">
        <f t="shared" si="16"/>
        <v>0</v>
      </c>
      <c r="I54" s="60">
        <v>8892</v>
      </c>
      <c r="J54" s="60">
        <v>8892</v>
      </c>
      <c r="K54" s="60">
        <f t="shared" si="3"/>
        <v>0</v>
      </c>
      <c r="L54" s="60"/>
      <c r="M54" s="60"/>
      <c r="N54" s="60">
        <f t="shared" si="17"/>
        <v>0</v>
      </c>
      <c r="O54" s="60"/>
      <c r="P54" s="60"/>
      <c r="Q54" s="60">
        <f t="shared" si="4"/>
        <v>0</v>
      </c>
      <c r="R54" s="60"/>
      <c r="S54" s="60"/>
      <c r="T54" s="60">
        <f t="shared" si="5"/>
        <v>0</v>
      </c>
      <c r="U54" s="60">
        <f>34284+2000+201276</f>
        <v>237560</v>
      </c>
      <c r="V54" s="60">
        <v>237560</v>
      </c>
      <c r="W54" s="60">
        <f t="shared" si="6"/>
        <v>0</v>
      </c>
      <c r="X54" s="60">
        <v>27079</v>
      </c>
      <c r="Y54" s="60">
        <v>27079</v>
      </c>
      <c r="Z54" s="60">
        <f t="shared" si="7"/>
        <v>0</v>
      </c>
      <c r="AA54" s="60">
        <v>82207</v>
      </c>
      <c r="AB54" s="60">
        <v>82207</v>
      </c>
      <c r="AC54" s="60">
        <f t="shared" si="8"/>
        <v>0</v>
      </c>
      <c r="AD54" s="60">
        <v>55440</v>
      </c>
      <c r="AE54" s="60">
        <v>55440</v>
      </c>
      <c r="AF54" s="60">
        <f t="shared" si="9"/>
        <v>0</v>
      </c>
      <c r="AG54" s="60"/>
      <c r="AH54" s="60"/>
      <c r="AI54" s="60">
        <f t="shared" si="10"/>
        <v>0</v>
      </c>
      <c r="AJ54" s="60"/>
      <c r="AK54" s="60"/>
      <c r="AL54" s="60">
        <f t="shared" si="11"/>
        <v>0</v>
      </c>
      <c r="AM54" s="39">
        <v>11255</v>
      </c>
      <c r="AN54" s="62">
        <v>3752</v>
      </c>
      <c r="AO54" s="62">
        <f t="shared" si="12"/>
        <v>7503</v>
      </c>
      <c r="AP54" s="60"/>
      <c r="AQ54" s="60"/>
      <c r="AR54" s="60"/>
      <c r="AS54" s="60">
        <v>91332</v>
      </c>
      <c r="AT54" s="60">
        <v>91332</v>
      </c>
      <c r="AU54" s="60">
        <f t="shared" si="14"/>
        <v>0</v>
      </c>
      <c r="AV54" s="60"/>
      <c r="AW54" s="60"/>
      <c r="AX54" s="60">
        <f t="shared" si="15"/>
        <v>0</v>
      </c>
      <c r="AY54" s="60"/>
      <c r="AZ54" s="60"/>
      <c r="BA54" s="60">
        <f t="shared" si="18"/>
        <v>0</v>
      </c>
      <c r="BB54" s="60"/>
      <c r="BC54" s="60"/>
      <c r="BD54" s="60"/>
      <c r="BE54" s="60"/>
      <c r="BF54" s="63">
        <f>-175453+297047</f>
        <v>121594</v>
      </c>
      <c r="BG54" s="60">
        <v>80641.26</v>
      </c>
      <c r="BH54" s="60">
        <v>11412.96</v>
      </c>
      <c r="BI54" s="60">
        <v>820.26</v>
      </c>
      <c r="BJ54" s="60">
        <v>382381.17</v>
      </c>
      <c r="BK54" s="60"/>
      <c r="BL54" s="60">
        <f>(BF54+BG54+BH54+BI54+BJ54)</f>
        <v>596849.65</v>
      </c>
      <c r="BM54" s="60">
        <f>12480+82207</f>
        <v>94687</v>
      </c>
    </row>
    <row r="55" spans="1:65" ht="13.5" thickBot="1">
      <c r="A55" s="61"/>
      <c r="B55" s="60" t="s">
        <v>355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2"/>
      <c r="AO55" s="62"/>
      <c r="AP55" s="60"/>
      <c r="AQ55" s="60"/>
      <c r="AR55" s="60"/>
      <c r="AS55" s="60">
        <v>105300</v>
      </c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3"/>
      <c r="BG55" s="60"/>
      <c r="BH55" s="60"/>
      <c r="BI55" s="60"/>
      <c r="BJ55" s="60"/>
      <c r="BK55" s="60"/>
      <c r="BL55" s="60"/>
      <c r="BM55" s="60"/>
    </row>
    <row r="56" spans="1:65" ht="13.5" thickBot="1">
      <c r="A56" s="39"/>
      <c r="B56" s="40" t="s">
        <v>276</v>
      </c>
      <c r="C56" s="50">
        <f>SUM(C6:C54)</f>
        <v>1114995</v>
      </c>
      <c r="D56" s="39"/>
      <c r="E56" s="39"/>
      <c r="F56" s="39"/>
      <c r="G56" s="39"/>
      <c r="H56" s="39"/>
      <c r="I56" s="50">
        <f>SUM(I6:I54)</f>
        <v>457938</v>
      </c>
      <c r="J56" s="39"/>
      <c r="K56" s="39"/>
      <c r="L56" s="50">
        <f>SUM(L6:L54)</f>
        <v>577185</v>
      </c>
      <c r="M56" s="39"/>
      <c r="N56" s="39"/>
      <c r="O56" s="50">
        <f>SUM(O6:O54)</f>
        <v>309837</v>
      </c>
      <c r="P56" s="39"/>
      <c r="Q56" s="39"/>
      <c r="R56" s="50">
        <f>SUM(R6:R54)</f>
        <v>211299</v>
      </c>
      <c r="S56" s="39"/>
      <c r="T56" s="39"/>
      <c r="U56" s="50">
        <f>SUM(U6:U54)</f>
        <v>2444120</v>
      </c>
      <c r="V56" s="39"/>
      <c r="W56" s="39"/>
      <c r="X56" s="50">
        <f>SUM(X6:X54)</f>
        <v>1153882</v>
      </c>
      <c r="Y56" s="39"/>
      <c r="Z56" s="39"/>
      <c r="AA56" s="50">
        <f>SUM(AA6:AA54)</f>
        <v>1725828</v>
      </c>
      <c r="AB56" s="39"/>
      <c r="AC56" s="39"/>
      <c r="AD56" s="50">
        <f>SUM(AD6:AD54)</f>
        <v>1066252</v>
      </c>
      <c r="AE56" s="39"/>
      <c r="AF56" s="39"/>
      <c r="AG56" s="39"/>
      <c r="AH56" s="39"/>
      <c r="AI56" s="39"/>
      <c r="AJ56" s="39"/>
      <c r="AK56" s="39"/>
      <c r="AL56" s="39"/>
      <c r="AM56" s="50">
        <f>SUM(AM6:AM54)</f>
        <v>853219</v>
      </c>
      <c r="AN56" s="50">
        <f>SUM(AN6:AN54)</f>
        <v>286812</v>
      </c>
      <c r="AO56" s="39"/>
      <c r="AP56" s="50">
        <v>72000</v>
      </c>
      <c r="AQ56" s="39"/>
      <c r="AR56" s="39"/>
      <c r="AS56" s="50">
        <f>SUM(AS6:AS54)+AS55</f>
        <v>1039281</v>
      </c>
      <c r="AT56" s="39"/>
      <c r="AU56" s="39"/>
      <c r="AV56" s="39"/>
      <c r="AW56" s="39"/>
      <c r="AX56" s="39"/>
      <c r="AY56" s="39"/>
      <c r="AZ56" s="39"/>
      <c r="BA56" s="39"/>
      <c r="BB56" s="50">
        <f>SUM(BB6:BB54)</f>
        <v>382755</v>
      </c>
      <c r="BC56" s="39"/>
      <c r="BD56" s="39"/>
      <c r="BE56" s="39"/>
      <c r="BF56" s="39">
        <f aca="true" t="shared" si="21" ref="BF56:BM56">SUM(BF6:BF54)</f>
        <v>-298631</v>
      </c>
      <c r="BG56" s="39">
        <f t="shared" si="21"/>
        <v>3779713.4099999997</v>
      </c>
      <c r="BH56" s="39">
        <f t="shared" si="21"/>
        <v>232525.89</v>
      </c>
      <c r="BI56" s="39">
        <f t="shared" si="21"/>
        <v>12940.7</v>
      </c>
      <c r="BJ56" s="39">
        <f t="shared" si="21"/>
        <v>2148087.86</v>
      </c>
      <c r="BK56" s="39"/>
      <c r="BL56" s="39">
        <f t="shared" si="21"/>
        <v>5942088.86</v>
      </c>
      <c r="BM56" s="39">
        <f t="shared" si="21"/>
        <v>94687</v>
      </c>
    </row>
    <row r="57" ht="12.75">
      <c r="BL57">
        <f>BL56-BJ31</f>
        <v>5283431.37</v>
      </c>
    </row>
  </sheetData>
  <sheetProtection/>
  <mergeCells count="27">
    <mergeCell ref="AT3:BD3"/>
    <mergeCell ref="F4:H4"/>
    <mergeCell ref="AJ4:AL4"/>
    <mergeCell ref="AM4:AO4"/>
    <mergeCell ref="AP4:AR4"/>
    <mergeCell ref="R4:T4"/>
    <mergeCell ref="AS4:AU4"/>
    <mergeCell ref="BM3:BM5"/>
    <mergeCell ref="U4:W4"/>
    <mergeCell ref="X4:Z4"/>
    <mergeCell ref="AA4:AC4"/>
    <mergeCell ref="AD4:AF4"/>
    <mergeCell ref="I4:K4"/>
    <mergeCell ref="L4:N4"/>
    <mergeCell ref="O4:Q4"/>
    <mergeCell ref="BF3:BF5"/>
    <mergeCell ref="AV4:AX4"/>
    <mergeCell ref="BG3:BG5"/>
    <mergeCell ref="BH3:BH5"/>
    <mergeCell ref="BL3:BL5"/>
    <mergeCell ref="BI3:BI5"/>
    <mergeCell ref="BJ3:BJ5"/>
    <mergeCell ref="C4:E4"/>
    <mergeCell ref="BE3:BE5"/>
    <mergeCell ref="AG4:AI4"/>
    <mergeCell ref="AY4:BA4"/>
    <mergeCell ref="BB4:B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43"/>
  <sheetViews>
    <sheetView view="pageBreakPreview" zoomScaleSheetLayoutView="100" zoomScalePageLayoutView="0" workbookViewId="0" topLeftCell="A1">
      <pane xSplit="6" ySplit="10" topLeftCell="G439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1" sqref="A1:K449"/>
    </sheetView>
  </sheetViews>
  <sheetFormatPr defaultColWidth="9.00390625" defaultRowHeight="12.75"/>
  <cols>
    <col min="1" max="1" width="5.125" style="0" customWidth="1"/>
    <col min="2" max="2" width="20.375" style="0" customWidth="1"/>
    <col min="3" max="3" width="7.75390625" style="0" customWidth="1"/>
    <col min="4" max="4" width="17.00390625" style="0" customWidth="1"/>
    <col min="5" max="5" width="7.25390625" style="0" customWidth="1"/>
    <col min="6" max="6" width="6.375" style="0" customWidth="1"/>
    <col min="7" max="7" width="12.375" style="0" customWidth="1"/>
    <col min="8" max="8" width="10.375" style="0" customWidth="1"/>
    <col min="9" max="9" width="10.25390625" style="0" customWidth="1"/>
    <col min="10" max="11" width="12.125" style="0" customWidth="1"/>
  </cols>
  <sheetData>
    <row r="1" spans="1:12" ht="15.75">
      <c r="A1" s="97" t="s">
        <v>230</v>
      </c>
      <c r="B1" s="97"/>
      <c r="C1" s="97"/>
      <c r="D1" s="97"/>
      <c r="E1" s="97"/>
      <c r="F1" s="97"/>
      <c r="G1" s="97"/>
      <c r="H1" s="97"/>
      <c r="I1" s="97"/>
      <c r="J1" s="97"/>
      <c r="K1" s="45"/>
      <c r="L1" s="46"/>
    </row>
    <row r="2" spans="9:10" ht="15.75">
      <c r="I2" s="45" t="s">
        <v>303</v>
      </c>
      <c r="J2" s="46"/>
    </row>
    <row r="3" spans="9:13" ht="12.75">
      <c r="I3" s="46" t="s">
        <v>304</v>
      </c>
      <c r="M3" s="46"/>
    </row>
    <row r="4" spans="9:11" ht="12.75">
      <c r="I4" s="46" t="s">
        <v>306</v>
      </c>
      <c r="J4" s="46"/>
      <c r="K4" s="46"/>
    </row>
    <row r="5" spans="1:23" ht="13.5" customHeight="1">
      <c r="A5" s="112" t="s">
        <v>0</v>
      </c>
      <c r="B5" s="105" t="s">
        <v>16</v>
      </c>
      <c r="C5" s="105" t="s">
        <v>1</v>
      </c>
      <c r="D5" s="105" t="s">
        <v>130</v>
      </c>
      <c r="E5" s="105" t="s">
        <v>2</v>
      </c>
      <c r="F5" s="105" t="s">
        <v>125</v>
      </c>
      <c r="G5" s="105" t="s">
        <v>308</v>
      </c>
      <c r="H5" s="105" t="s">
        <v>279</v>
      </c>
      <c r="I5" s="105" t="s">
        <v>280</v>
      </c>
      <c r="J5" s="105" t="s">
        <v>305</v>
      </c>
      <c r="K5" s="107" t="s">
        <v>307</v>
      </c>
      <c r="L5" s="102" t="s">
        <v>3</v>
      </c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4"/>
    </row>
    <row r="6" spans="1:23" ht="24" customHeight="1">
      <c r="A6" s="113"/>
      <c r="B6" s="106"/>
      <c r="C6" s="106"/>
      <c r="D6" s="106"/>
      <c r="E6" s="106"/>
      <c r="F6" s="106"/>
      <c r="G6" s="106"/>
      <c r="H6" s="106"/>
      <c r="I6" s="106"/>
      <c r="J6" s="106"/>
      <c r="K6" s="108"/>
      <c r="L6" s="7" t="s">
        <v>4</v>
      </c>
      <c r="M6" s="7" t="s">
        <v>5</v>
      </c>
      <c r="N6" s="7" t="s">
        <v>6</v>
      </c>
      <c r="O6" s="7" t="s">
        <v>7</v>
      </c>
      <c r="P6" s="7" t="s">
        <v>8</v>
      </c>
      <c r="Q6" s="7" t="s">
        <v>9</v>
      </c>
      <c r="R6" s="7" t="s">
        <v>10</v>
      </c>
      <c r="S6" s="7" t="s">
        <v>11</v>
      </c>
      <c r="T6" s="7" t="s">
        <v>12</v>
      </c>
      <c r="U6" s="7" t="s">
        <v>13</v>
      </c>
      <c r="V6" s="7" t="s">
        <v>14</v>
      </c>
      <c r="W6" s="7" t="s">
        <v>15</v>
      </c>
    </row>
    <row r="7" spans="1:23" ht="16.5" thickBot="1">
      <c r="A7" s="3" t="s">
        <v>17</v>
      </c>
      <c r="B7" s="3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53.25" customHeight="1">
      <c r="A8" s="2" t="s">
        <v>19</v>
      </c>
      <c r="B8" s="8" t="s">
        <v>281</v>
      </c>
      <c r="C8" s="8"/>
      <c r="D8" s="8" t="s">
        <v>131</v>
      </c>
      <c r="E8" s="2" t="s">
        <v>124</v>
      </c>
      <c r="F8" s="2">
        <v>7</v>
      </c>
      <c r="G8" s="10">
        <f aca="true" t="shared" si="0" ref="G8:G56">F8*420</f>
        <v>2940</v>
      </c>
      <c r="H8" s="13">
        <v>5</v>
      </c>
      <c r="I8" s="42">
        <f>H8*390</f>
        <v>1950</v>
      </c>
      <c r="J8" s="13">
        <f aca="true" t="shared" si="1" ref="J8:J39">G8+I8</f>
        <v>4890</v>
      </c>
      <c r="K8" s="13">
        <f aca="true" t="shared" si="2" ref="K8:K20">J8</f>
        <v>4890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2.75">
      <c r="A9" s="1" t="s">
        <v>20</v>
      </c>
      <c r="B9" s="1" t="s">
        <v>209</v>
      </c>
      <c r="C9" s="1"/>
      <c r="D9" s="1"/>
      <c r="E9" s="1" t="s">
        <v>124</v>
      </c>
      <c r="F9" s="1">
        <f>5+12</f>
        <v>17</v>
      </c>
      <c r="G9" s="10">
        <f t="shared" si="0"/>
        <v>7140</v>
      </c>
      <c r="H9" s="13"/>
      <c r="I9" s="42">
        <f aca="true" t="shared" si="3" ref="I9:I111">H9*390</f>
        <v>0</v>
      </c>
      <c r="J9" s="13">
        <f t="shared" si="1"/>
        <v>7140</v>
      </c>
      <c r="K9" s="13">
        <f t="shared" si="2"/>
        <v>7140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5.5">
      <c r="A10" s="1" t="s">
        <v>69</v>
      </c>
      <c r="B10" s="6" t="s">
        <v>350</v>
      </c>
      <c r="C10" s="1"/>
      <c r="D10" s="1"/>
      <c r="E10" s="1" t="s">
        <v>124</v>
      </c>
      <c r="F10" s="1">
        <v>17</v>
      </c>
      <c r="G10" s="10">
        <f t="shared" si="0"/>
        <v>7140</v>
      </c>
      <c r="H10" s="2">
        <v>17</v>
      </c>
      <c r="I10" s="42">
        <f t="shared" si="3"/>
        <v>6630</v>
      </c>
      <c r="J10" s="13">
        <f t="shared" si="1"/>
        <v>13770</v>
      </c>
      <c r="K10" s="13">
        <f t="shared" si="2"/>
        <v>13770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5.5">
      <c r="A11" s="1" t="s">
        <v>70</v>
      </c>
      <c r="B11" s="6" t="s">
        <v>296</v>
      </c>
      <c r="C11" s="1"/>
      <c r="D11" s="1"/>
      <c r="E11" s="1" t="s">
        <v>124</v>
      </c>
      <c r="F11" s="1">
        <f>0.5+1.5</f>
        <v>2</v>
      </c>
      <c r="G11" s="10">
        <f t="shared" si="0"/>
        <v>840</v>
      </c>
      <c r="H11" s="13"/>
      <c r="I11" s="42">
        <f t="shared" si="3"/>
        <v>0</v>
      </c>
      <c r="J11" s="13">
        <f t="shared" si="1"/>
        <v>840</v>
      </c>
      <c r="K11" s="13">
        <f t="shared" si="2"/>
        <v>840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25.5">
      <c r="A12" s="1" t="s">
        <v>71</v>
      </c>
      <c r="B12" s="6" t="s">
        <v>266</v>
      </c>
      <c r="C12" s="1"/>
      <c r="D12" s="1"/>
      <c r="E12" s="1" t="s">
        <v>124</v>
      </c>
      <c r="F12" s="1">
        <f>40+34+18+14+9+24+12</f>
        <v>151</v>
      </c>
      <c r="G12" s="10">
        <f>F12*390</f>
        <v>58890</v>
      </c>
      <c r="H12" s="13"/>
      <c r="I12" s="42">
        <f t="shared" si="3"/>
        <v>0</v>
      </c>
      <c r="J12" s="13">
        <f t="shared" si="1"/>
        <v>58890</v>
      </c>
      <c r="K12" s="13">
        <f t="shared" si="2"/>
        <v>58890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38.25">
      <c r="A13" s="1" t="s">
        <v>72</v>
      </c>
      <c r="B13" s="6" t="s">
        <v>398</v>
      </c>
      <c r="C13" s="1"/>
      <c r="D13" s="1"/>
      <c r="E13" s="1" t="s">
        <v>124</v>
      </c>
      <c r="F13" s="1">
        <f>18+3+45+6.5+6+3+4+18+6</f>
        <v>109.5</v>
      </c>
      <c r="G13" s="10">
        <f>F13*390</f>
        <v>42705</v>
      </c>
      <c r="H13" s="13"/>
      <c r="I13" s="42">
        <f t="shared" si="3"/>
        <v>0</v>
      </c>
      <c r="J13" s="13">
        <f t="shared" si="1"/>
        <v>42705</v>
      </c>
      <c r="K13" s="13">
        <f t="shared" si="2"/>
        <v>42705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38.25" customHeight="1">
      <c r="A14" s="1" t="s">
        <v>73</v>
      </c>
      <c r="B14" s="1" t="s">
        <v>302</v>
      </c>
      <c r="C14" s="1"/>
      <c r="D14" s="6" t="s">
        <v>156</v>
      </c>
      <c r="E14" s="1" t="s">
        <v>124</v>
      </c>
      <c r="F14" s="1">
        <v>12</v>
      </c>
      <c r="G14" s="10">
        <f>F14*420</f>
        <v>5040</v>
      </c>
      <c r="H14" s="13">
        <v>16</v>
      </c>
      <c r="I14" s="42">
        <f t="shared" si="3"/>
        <v>6240</v>
      </c>
      <c r="J14" s="13">
        <f t="shared" si="1"/>
        <v>11280</v>
      </c>
      <c r="K14" s="13">
        <f t="shared" si="2"/>
        <v>11280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2.75">
      <c r="A15" s="1" t="s">
        <v>74</v>
      </c>
      <c r="B15" s="1" t="s">
        <v>382</v>
      </c>
      <c r="C15" s="1"/>
      <c r="D15" s="1"/>
      <c r="E15" s="1" t="s">
        <v>124</v>
      </c>
      <c r="F15" s="1">
        <v>1.2</v>
      </c>
      <c r="G15" s="10">
        <f t="shared" si="0"/>
        <v>504</v>
      </c>
      <c r="H15" s="13"/>
      <c r="I15" s="42">
        <f t="shared" si="3"/>
        <v>0</v>
      </c>
      <c r="J15" s="13">
        <f t="shared" si="1"/>
        <v>504</v>
      </c>
      <c r="K15" s="13">
        <f t="shared" si="2"/>
        <v>504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25.5">
      <c r="A16" s="1" t="s">
        <v>75</v>
      </c>
      <c r="B16" s="6" t="s">
        <v>297</v>
      </c>
      <c r="C16" s="1"/>
      <c r="D16" s="1"/>
      <c r="E16" s="1" t="s">
        <v>124</v>
      </c>
      <c r="F16" s="1">
        <f>3+4+6</f>
        <v>13</v>
      </c>
      <c r="G16" s="10">
        <f t="shared" si="0"/>
        <v>5460</v>
      </c>
      <c r="H16" s="44">
        <v>1.5</v>
      </c>
      <c r="I16" s="42">
        <f t="shared" si="3"/>
        <v>585</v>
      </c>
      <c r="J16" s="13">
        <f t="shared" si="1"/>
        <v>6045</v>
      </c>
      <c r="K16" s="13">
        <f t="shared" si="2"/>
        <v>6045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1" t="s">
        <v>248</v>
      </c>
      <c r="B17" s="1" t="s">
        <v>29</v>
      </c>
      <c r="C17" s="1"/>
      <c r="D17" s="1"/>
      <c r="E17" s="1" t="s">
        <v>124</v>
      </c>
      <c r="F17" s="1"/>
      <c r="G17" s="10">
        <f t="shared" si="0"/>
        <v>0</v>
      </c>
      <c r="H17" s="13"/>
      <c r="I17" s="42">
        <f t="shared" si="3"/>
        <v>0</v>
      </c>
      <c r="J17" s="13">
        <f t="shared" si="1"/>
        <v>0</v>
      </c>
      <c r="K17" s="13">
        <f t="shared" si="2"/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1" t="s">
        <v>249</v>
      </c>
      <c r="B18" s="1" t="s">
        <v>132</v>
      </c>
      <c r="C18" s="1"/>
      <c r="D18" s="1"/>
      <c r="E18" s="1" t="s">
        <v>124</v>
      </c>
      <c r="F18" s="1">
        <v>10.5</v>
      </c>
      <c r="G18" s="10">
        <f t="shared" si="0"/>
        <v>4410</v>
      </c>
      <c r="H18" s="13"/>
      <c r="I18" s="42">
        <f t="shared" si="3"/>
        <v>0</v>
      </c>
      <c r="J18" s="13">
        <f t="shared" si="1"/>
        <v>4410</v>
      </c>
      <c r="K18" s="13">
        <f t="shared" si="2"/>
        <v>4410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1" t="s">
        <v>250</v>
      </c>
      <c r="B19" s="1" t="s">
        <v>287</v>
      </c>
      <c r="C19" s="1"/>
      <c r="D19" s="1"/>
      <c r="E19" s="1" t="s">
        <v>124</v>
      </c>
      <c r="F19" s="1"/>
      <c r="G19" s="10">
        <f t="shared" si="0"/>
        <v>0</v>
      </c>
      <c r="H19" s="13">
        <v>14</v>
      </c>
      <c r="I19" s="42">
        <f t="shared" si="3"/>
        <v>5460</v>
      </c>
      <c r="J19" s="13">
        <f t="shared" si="1"/>
        <v>5460</v>
      </c>
      <c r="K19" s="13">
        <f t="shared" si="2"/>
        <v>5460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38.25">
      <c r="A20" s="1" t="s">
        <v>251</v>
      </c>
      <c r="B20" s="6" t="s">
        <v>288</v>
      </c>
      <c r="C20" s="1"/>
      <c r="D20" s="1"/>
      <c r="E20" s="1" t="s">
        <v>124</v>
      </c>
      <c r="F20" s="1">
        <v>3</v>
      </c>
      <c r="G20" s="10">
        <f t="shared" si="0"/>
        <v>1260</v>
      </c>
      <c r="H20" s="44">
        <v>744.4</v>
      </c>
      <c r="I20" s="42">
        <f t="shared" si="3"/>
        <v>290316</v>
      </c>
      <c r="J20" s="13">
        <f t="shared" si="1"/>
        <v>291576</v>
      </c>
      <c r="K20" s="13">
        <f t="shared" si="2"/>
        <v>291576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63.75">
      <c r="A21" s="1" t="s">
        <v>252</v>
      </c>
      <c r="B21" s="6" t="s">
        <v>300</v>
      </c>
      <c r="C21" s="1"/>
      <c r="D21" s="1"/>
      <c r="E21" s="1" t="s">
        <v>124</v>
      </c>
      <c r="F21" s="1">
        <f>18+12+21+6+36+12+9+4+3+6+11+19+3.5+30+3</f>
        <v>193.5</v>
      </c>
      <c r="G21" s="10">
        <f>F21*390</f>
        <v>75465</v>
      </c>
      <c r="H21" s="13">
        <v>9</v>
      </c>
      <c r="I21" s="42">
        <f t="shared" si="3"/>
        <v>3510</v>
      </c>
      <c r="J21" s="13">
        <f t="shared" si="1"/>
        <v>78975</v>
      </c>
      <c r="K21" s="13">
        <f aca="true" t="shared" si="4" ref="K21:K58">J21</f>
        <v>78975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38.25" customHeight="1">
      <c r="A22" s="1" t="s">
        <v>253</v>
      </c>
      <c r="B22" s="6" t="s">
        <v>157</v>
      </c>
      <c r="C22" s="1"/>
      <c r="D22" s="6" t="s">
        <v>156</v>
      </c>
      <c r="E22" s="1" t="s">
        <v>124</v>
      </c>
      <c r="F22" s="1">
        <v>12</v>
      </c>
      <c r="G22" s="10">
        <f t="shared" si="0"/>
        <v>5040</v>
      </c>
      <c r="H22" s="13"/>
      <c r="I22" s="42">
        <f t="shared" si="3"/>
        <v>0</v>
      </c>
      <c r="J22" s="13">
        <f t="shared" si="1"/>
        <v>5040</v>
      </c>
      <c r="K22" s="13">
        <f t="shared" si="4"/>
        <v>5040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1" t="s">
        <v>76</v>
      </c>
      <c r="B23" s="1" t="s">
        <v>34</v>
      </c>
      <c r="C23" s="1"/>
      <c r="D23" s="1"/>
      <c r="E23" s="1" t="s">
        <v>124</v>
      </c>
      <c r="F23" s="1"/>
      <c r="G23" s="10">
        <f t="shared" si="0"/>
        <v>0</v>
      </c>
      <c r="H23" s="13"/>
      <c r="I23" s="42">
        <f t="shared" si="3"/>
        <v>0</v>
      </c>
      <c r="J23" s="13">
        <f t="shared" si="1"/>
        <v>0</v>
      </c>
      <c r="K23" s="13">
        <f t="shared" si="4"/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25.5">
      <c r="A24" s="1" t="s">
        <v>77</v>
      </c>
      <c r="B24" s="6" t="s">
        <v>384</v>
      </c>
      <c r="C24" s="1"/>
      <c r="D24" s="1"/>
      <c r="E24" s="1" t="s">
        <v>124</v>
      </c>
      <c r="F24" s="1">
        <f>3+4.5+2</f>
        <v>9.5</v>
      </c>
      <c r="G24" s="10">
        <f t="shared" si="0"/>
        <v>3990</v>
      </c>
      <c r="H24" s="13"/>
      <c r="I24" s="42">
        <f t="shared" si="3"/>
        <v>0</v>
      </c>
      <c r="J24" s="13">
        <f t="shared" si="1"/>
        <v>3990</v>
      </c>
      <c r="K24" s="13">
        <f t="shared" si="4"/>
        <v>3990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 t="s">
        <v>78</v>
      </c>
      <c r="B25" s="1" t="s">
        <v>36</v>
      </c>
      <c r="C25" s="1"/>
      <c r="D25" s="1"/>
      <c r="E25" s="1" t="s">
        <v>124</v>
      </c>
      <c r="F25" s="1"/>
      <c r="G25" s="10">
        <f t="shared" si="0"/>
        <v>0</v>
      </c>
      <c r="H25" s="13"/>
      <c r="I25" s="42">
        <f t="shared" si="3"/>
        <v>0</v>
      </c>
      <c r="J25" s="13">
        <f t="shared" si="1"/>
        <v>0</v>
      </c>
      <c r="K25" s="13">
        <f t="shared" si="4"/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1" t="s">
        <v>79</v>
      </c>
      <c r="B26" s="1" t="s">
        <v>37</v>
      </c>
      <c r="C26" s="1"/>
      <c r="D26" s="1"/>
      <c r="E26" s="1" t="s">
        <v>124</v>
      </c>
      <c r="F26" s="1"/>
      <c r="G26" s="10">
        <f t="shared" si="0"/>
        <v>0</v>
      </c>
      <c r="H26" s="13"/>
      <c r="I26" s="42">
        <f t="shared" si="3"/>
        <v>0</v>
      </c>
      <c r="J26" s="13">
        <f t="shared" si="1"/>
        <v>0</v>
      </c>
      <c r="K26" s="13">
        <f t="shared" si="4"/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25.5">
      <c r="A27" s="1" t="s">
        <v>80</v>
      </c>
      <c r="B27" s="6" t="s">
        <v>298</v>
      </c>
      <c r="C27" s="1"/>
      <c r="D27" s="6"/>
      <c r="E27" s="1" t="s">
        <v>124</v>
      </c>
      <c r="F27" s="1">
        <f>1.5+4.5</f>
        <v>6</v>
      </c>
      <c r="G27" s="10">
        <f t="shared" si="0"/>
        <v>2520</v>
      </c>
      <c r="H27" s="13">
        <v>7</v>
      </c>
      <c r="I27" s="42">
        <f t="shared" si="3"/>
        <v>2730</v>
      </c>
      <c r="J27" s="13">
        <f t="shared" si="1"/>
        <v>5250</v>
      </c>
      <c r="K27" s="13">
        <f t="shared" si="4"/>
        <v>5250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1" t="s">
        <v>81</v>
      </c>
      <c r="B28" s="1" t="s">
        <v>39</v>
      </c>
      <c r="C28" s="1"/>
      <c r="D28" s="1"/>
      <c r="E28" s="1" t="s">
        <v>124</v>
      </c>
      <c r="F28" s="1"/>
      <c r="G28" s="10">
        <f t="shared" si="0"/>
        <v>0</v>
      </c>
      <c r="H28" s="13"/>
      <c r="I28" s="42">
        <f t="shared" si="3"/>
        <v>0</v>
      </c>
      <c r="J28" s="13">
        <f t="shared" si="1"/>
        <v>0</v>
      </c>
      <c r="K28" s="13">
        <f t="shared" si="4"/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25.5">
      <c r="A29" s="1" t="s">
        <v>82</v>
      </c>
      <c r="B29" s="6" t="s">
        <v>295</v>
      </c>
      <c r="C29" s="1"/>
      <c r="D29" s="1"/>
      <c r="E29" s="1" t="s">
        <v>124</v>
      </c>
      <c r="F29" s="1">
        <v>12</v>
      </c>
      <c r="G29" s="10">
        <f t="shared" si="0"/>
        <v>5040</v>
      </c>
      <c r="H29" s="44">
        <f>22+4.5+3</f>
        <v>29.5</v>
      </c>
      <c r="I29" s="42">
        <f t="shared" si="3"/>
        <v>11505</v>
      </c>
      <c r="J29" s="13">
        <f t="shared" si="1"/>
        <v>16545</v>
      </c>
      <c r="K29" s="13">
        <f t="shared" si="4"/>
        <v>16545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25.5">
      <c r="A30" s="1" t="s">
        <v>83</v>
      </c>
      <c r="B30" s="6" t="s">
        <v>284</v>
      </c>
      <c r="C30" s="1"/>
      <c r="D30" s="1"/>
      <c r="E30" s="1" t="s">
        <v>124</v>
      </c>
      <c r="F30" s="1"/>
      <c r="G30" s="10">
        <f t="shared" si="0"/>
        <v>0</v>
      </c>
      <c r="H30" s="44">
        <v>10.5</v>
      </c>
      <c r="I30" s="42">
        <f t="shared" si="3"/>
        <v>4095</v>
      </c>
      <c r="J30" s="13">
        <f t="shared" si="1"/>
        <v>4095</v>
      </c>
      <c r="K30" s="13">
        <f t="shared" si="4"/>
        <v>4095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38.25">
      <c r="A31" s="1" t="s">
        <v>84</v>
      </c>
      <c r="B31" s="6" t="s">
        <v>332</v>
      </c>
      <c r="C31" s="1"/>
      <c r="D31" s="1"/>
      <c r="E31" s="1" t="s">
        <v>124</v>
      </c>
      <c r="F31" s="1">
        <f>6+22</f>
        <v>28</v>
      </c>
      <c r="G31" s="10">
        <f t="shared" si="0"/>
        <v>11760</v>
      </c>
      <c r="H31" s="13"/>
      <c r="I31" s="42">
        <f t="shared" si="3"/>
        <v>0</v>
      </c>
      <c r="J31" s="13">
        <f t="shared" si="1"/>
        <v>11760</v>
      </c>
      <c r="K31" s="13">
        <f t="shared" si="4"/>
        <v>11760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25.5">
      <c r="A32" s="1" t="s">
        <v>85</v>
      </c>
      <c r="B32" s="6" t="s">
        <v>136</v>
      </c>
      <c r="C32" s="1"/>
      <c r="D32" s="1"/>
      <c r="E32" s="1" t="s">
        <v>124</v>
      </c>
      <c r="F32" s="1">
        <f>13.5+3.5</f>
        <v>17</v>
      </c>
      <c r="G32" s="10">
        <f t="shared" si="0"/>
        <v>7140</v>
      </c>
      <c r="H32" s="13"/>
      <c r="I32" s="42">
        <f t="shared" si="3"/>
        <v>0</v>
      </c>
      <c r="J32" s="13">
        <f t="shared" si="1"/>
        <v>7140</v>
      </c>
      <c r="K32" s="13">
        <f t="shared" si="4"/>
        <v>7140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25.5">
      <c r="A33" s="1" t="s">
        <v>86</v>
      </c>
      <c r="B33" s="6" t="s">
        <v>285</v>
      </c>
      <c r="C33" s="1"/>
      <c r="D33" s="1"/>
      <c r="E33" s="1" t="s">
        <v>124</v>
      </c>
      <c r="F33" s="1">
        <v>14</v>
      </c>
      <c r="G33" s="10">
        <f t="shared" si="0"/>
        <v>5880</v>
      </c>
      <c r="H33" s="13">
        <v>7</v>
      </c>
      <c r="I33" s="42">
        <f t="shared" si="3"/>
        <v>2730</v>
      </c>
      <c r="J33" s="13">
        <f t="shared" si="1"/>
        <v>8610</v>
      </c>
      <c r="K33" s="13">
        <f t="shared" si="4"/>
        <v>8610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25.5">
      <c r="A34" s="1" t="s">
        <v>87</v>
      </c>
      <c r="B34" s="6" t="s">
        <v>292</v>
      </c>
      <c r="C34" s="1"/>
      <c r="D34" s="1"/>
      <c r="E34" s="1" t="s">
        <v>124</v>
      </c>
      <c r="F34" s="1">
        <f>16.5+38</f>
        <v>54.5</v>
      </c>
      <c r="G34" s="10">
        <f t="shared" si="0"/>
        <v>22890</v>
      </c>
      <c r="H34" s="13"/>
      <c r="I34" s="42">
        <f t="shared" si="3"/>
        <v>0</v>
      </c>
      <c r="J34" s="13">
        <f t="shared" si="1"/>
        <v>22890</v>
      </c>
      <c r="K34" s="13">
        <f t="shared" si="4"/>
        <v>22890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 customHeight="1">
      <c r="A35" s="1" t="s">
        <v>88</v>
      </c>
      <c r="B35" s="1" t="s">
        <v>46</v>
      </c>
      <c r="C35" s="1"/>
      <c r="D35" s="1"/>
      <c r="E35" s="1" t="s">
        <v>124</v>
      </c>
      <c r="F35" s="1"/>
      <c r="G35" s="10">
        <f t="shared" si="0"/>
        <v>0</v>
      </c>
      <c r="H35" s="13"/>
      <c r="I35" s="42">
        <f t="shared" si="3"/>
        <v>0</v>
      </c>
      <c r="J35" s="13">
        <f t="shared" si="1"/>
        <v>0</v>
      </c>
      <c r="K35" s="13">
        <f t="shared" si="4"/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25.5">
      <c r="A36" s="1" t="s">
        <v>89</v>
      </c>
      <c r="B36" s="6" t="s">
        <v>299</v>
      </c>
      <c r="C36" s="1"/>
      <c r="D36" s="1"/>
      <c r="E36" s="1" t="s">
        <v>124</v>
      </c>
      <c r="F36" s="1">
        <v>18</v>
      </c>
      <c r="G36" s="10">
        <f t="shared" si="0"/>
        <v>7560</v>
      </c>
      <c r="H36" s="13"/>
      <c r="I36" s="42">
        <f t="shared" si="3"/>
        <v>0</v>
      </c>
      <c r="J36" s="13">
        <f t="shared" si="1"/>
        <v>7560</v>
      </c>
      <c r="K36" s="13">
        <f t="shared" si="4"/>
        <v>7560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 t="s">
        <v>90</v>
      </c>
      <c r="B37" s="1" t="s">
        <v>48</v>
      </c>
      <c r="C37" s="1"/>
      <c r="D37" s="1"/>
      <c r="E37" s="1" t="s">
        <v>124</v>
      </c>
      <c r="F37" s="1"/>
      <c r="G37" s="10">
        <f t="shared" si="0"/>
        <v>0</v>
      </c>
      <c r="H37" s="13"/>
      <c r="I37" s="42">
        <f t="shared" si="3"/>
        <v>0</v>
      </c>
      <c r="J37" s="13">
        <f t="shared" si="1"/>
        <v>0</v>
      </c>
      <c r="K37" s="13">
        <f t="shared" si="4"/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 t="s">
        <v>91</v>
      </c>
      <c r="B38" s="1" t="s">
        <v>49</v>
      </c>
      <c r="C38" s="1"/>
      <c r="D38" s="1"/>
      <c r="E38" s="1" t="s">
        <v>124</v>
      </c>
      <c r="F38" s="1"/>
      <c r="G38" s="10">
        <f t="shared" si="0"/>
        <v>0</v>
      </c>
      <c r="H38" s="13"/>
      <c r="I38" s="42">
        <f t="shared" si="3"/>
        <v>0</v>
      </c>
      <c r="J38" s="13">
        <f t="shared" si="1"/>
        <v>0</v>
      </c>
      <c r="K38" s="13">
        <f t="shared" si="4"/>
        <v>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25.5">
      <c r="A39" s="1" t="s">
        <v>92</v>
      </c>
      <c r="B39" s="6" t="s">
        <v>133</v>
      </c>
      <c r="C39" s="1"/>
      <c r="D39" s="1"/>
      <c r="E39" s="1" t="s">
        <v>124</v>
      </c>
      <c r="F39" s="1">
        <f>18</f>
        <v>18</v>
      </c>
      <c r="G39" s="10">
        <f t="shared" si="0"/>
        <v>7560</v>
      </c>
      <c r="H39" s="13"/>
      <c r="I39" s="42">
        <f t="shared" si="3"/>
        <v>0</v>
      </c>
      <c r="J39" s="13">
        <f t="shared" si="1"/>
        <v>7560</v>
      </c>
      <c r="K39" s="13">
        <f t="shared" si="4"/>
        <v>7560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25.5">
      <c r="A40" s="1" t="s">
        <v>93</v>
      </c>
      <c r="B40" s="6" t="s">
        <v>286</v>
      </c>
      <c r="C40" s="1"/>
      <c r="D40" s="1"/>
      <c r="E40" s="1" t="s">
        <v>124</v>
      </c>
      <c r="F40" s="1">
        <v>6</v>
      </c>
      <c r="G40" s="10">
        <f t="shared" si="0"/>
        <v>2520</v>
      </c>
      <c r="H40" s="13">
        <v>8</v>
      </c>
      <c r="I40" s="42">
        <f t="shared" si="3"/>
        <v>3120</v>
      </c>
      <c r="J40" s="13">
        <f aca="true" t="shared" si="5" ref="J40:J58">G40+I40</f>
        <v>5640</v>
      </c>
      <c r="K40" s="13">
        <f t="shared" si="4"/>
        <v>5640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25.5">
      <c r="A41" s="1" t="s">
        <v>94</v>
      </c>
      <c r="B41" s="6" t="s">
        <v>137</v>
      </c>
      <c r="C41" s="1"/>
      <c r="D41" s="1"/>
      <c r="E41" s="1" t="s">
        <v>124</v>
      </c>
      <c r="F41" s="1">
        <f>10.5</f>
        <v>10.5</v>
      </c>
      <c r="G41" s="10">
        <f t="shared" si="0"/>
        <v>4410</v>
      </c>
      <c r="H41" s="13"/>
      <c r="I41" s="42">
        <f t="shared" si="3"/>
        <v>0</v>
      </c>
      <c r="J41" s="13">
        <f t="shared" si="5"/>
        <v>4410</v>
      </c>
      <c r="K41" s="13">
        <f t="shared" si="4"/>
        <v>4410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5.5">
      <c r="A42" s="1" t="s">
        <v>95</v>
      </c>
      <c r="B42" s="6" t="s">
        <v>289</v>
      </c>
      <c r="C42" s="1"/>
      <c r="D42" s="1"/>
      <c r="E42" s="1" t="s">
        <v>124</v>
      </c>
      <c r="F42" s="1"/>
      <c r="G42" s="10">
        <f t="shared" si="0"/>
        <v>0</v>
      </c>
      <c r="H42" s="44">
        <v>308.6</v>
      </c>
      <c r="I42" s="42">
        <f t="shared" si="3"/>
        <v>120354.00000000001</v>
      </c>
      <c r="J42" s="13">
        <f t="shared" si="5"/>
        <v>120354.00000000001</v>
      </c>
      <c r="K42" s="13">
        <f t="shared" si="4"/>
        <v>120354.00000000001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38.25">
      <c r="A43" s="1" t="s">
        <v>96</v>
      </c>
      <c r="B43" s="6" t="s">
        <v>290</v>
      </c>
      <c r="C43" s="1"/>
      <c r="D43" s="1"/>
      <c r="E43" s="1" t="s">
        <v>124</v>
      </c>
      <c r="F43" s="1"/>
      <c r="G43" s="10">
        <f t="shared" si="0"/>
        <v>0</v>
      </c>
      <c r="H43" s="44">
        <f>5+400.4</f>
        <v>405.4</v>
      </c>
      <c r="I43" s="42">
        <f t="shared" si="3"/>
        <v>158106</v>
      </c>
      <c r="J43" s="13">
        <f t="shared" si="5"/>
        <v>158106</v>
      </c>
      <c r="K43" s="13">
        <f t="shared" si="4"/>
        <v>158106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51">
      <c r="A44" s="1" t="s">
        <v>97</v>
      </c>
      <c r="B44" s="1" t="s">
        <v>271</v>
      </c>
      <c r="C44" s="6"/>
      <c r="D44" s="30" t="s">
        <v>247</v>
      </c>
      <c r="E44" s="31" t="s">
        <v>124</v>
      </c>
      <c r="F44" s="31">
        <f>4+3.5</f>
        <v>7.5</v>
      </c>
      <c r="G44" s="32">
        <f t="shared" si="0"/>
        <v>3150</v>
      </c>
      <c r="H44" s="42"/>
      <c r="I44" s="42">
        <f t="shared" si="3"/>
        <v>0</v>
      </c>
      <c r="J44" s="13">
        <f t="shared" si="5"/>
        <v>3150</v>
      </c>
      <c r="K44" s="13">
        <f t="shared" si="4"/>
        <v>3150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 t="s">
        <v>283</v>
      </c>
      <c r="B45" s="1" t="s">
        <v>383</v>
      </c>
      <c r="C45" s="6"/>
      <c r="D45" s="1"/>
      <c r="E45" s="1" t="s">
        <v>124</v>
      </c>
      <c r="F45" s="1">
        <f>6.5+3</f>
        <v>9.5</v>
      </c>
      <c r="G45" s="32">
        <f t="shared" si="0"/>
        <v>3990</v>
      </c>
      <c r="H45" s="44">
        <v>5.5</v>
      </c>
      <c r="I45" s="42">
        <f t="shared" si="3"/>
        <v>2145</v>
      </c>
      <c r="J45" s="13">
        <f t="shared" si="5"/>
        <v>6135</v>
      </c>
      <c r="K45" s="13">
        <f t="shared" si="4"/>
        <v>6135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 t="s">
        <v>381</v>
      </c>
      <c r="C46" s="6"/>
      <c r="D46" s="1"/>
      <c r="E46" s="1"/>
      <c r="F46" s="1">
        <v>1.5</v>
      </c>
      <c r="G46" s="32">
        <f t="shared" si="0"/>
        <v>630</v>
      </c>
      <c r="H46" s="44"/>
      <c r="I46" s="42"/>
      <c r="J46" s="13">
        <f t="shared" si="5"/>
        <v>630</v>
      </c>
      <c r="K46" s="13">
        <f t="shared" si="4"/>
        <v>630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 t="s">
        <v>98</v>
      </c>
      <c r="B47" s="1" t="s">
        <v>244</v>
      </c>
      <c r="C47" s="1"/>
      <c r="D47" s="1"/>
      <c r="E47" s="1" t="s">
        <v>124</v>
      </c>
      <c r="F47" s="1">
        <v>16.5</v>
      </c>
      <c r="G47" s="10">
        <f t="shared" si="0"/>
        <v>6930</v>
      </c>
      <c r="H47" s="13"/>
      <c r="I47" s="42">
        <f t="shared" si="3"/>
        <v>0</v>
      </c>
      <c r="J47" s="13">
        <f t="shared" si="5"/>
        <v>6930</v>
      </c>
      <c r="K47" s="13">
        <f t="shared" si="4"/>
        <v>6930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 t="s">
        <v>99</v>
      </c>
      <c r="B48" s="1" t="s">
        <v>129</v>
      </c>
      <c r="C48" s="1"/>
      <c r="D48" s="1"/>
      <c r="E48" s="1" t="s">
        <v>124</v>
      </c>
      <c r="F48" s="1"/>
      <c r="G48" s="10">
        <f t="shared" si="0"/>
        <v>0</v>
      </c>
      <c r="H48" s="13"/>
      <c r="I48" s="42">
        <f t="shared" si="3"/>
        <v>0</v>
      </c>
      <c r="J48" s="13">
        <f t="shared" si="5"/>
        <v>0</v>
      </c>
      <c r="K48" s="13">
        <f t="shared" si="4"/>
        <v>0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5.5">
      <c r="A49" s="1" t="s">
        <v>100</v>
      </c>
      <c r="B49" s="6" t="s">
        <v>282</v>
      </c>
      <c r="C49" s="1"/>
      <c r="D49" s="1"/>
      <c r="E49" s="1" t="s">
        <v>124</v>
      </c>
      <c r="F49" s="1">
        <f>68+4.5</f>
        <v>72.5</v>
      </c>
      <c r="G49" s="10">
        <f t="shared" si="0"/>
        <v>30450</v>
      </c>
      <c r="H49" s="44">
        <v>2.5</v>
      </c>
      <c r="I49" s="42">
        <f t="shared" si="3"/>
        <v>975</v>
      </c>
      <c r="J49" s="13">
        <f t="shared" si="5"/>
        <v>31425</v>
      </c>
      <c r="K49" s="13">
        <f t="shared" si="4"/>
        <v>31425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 t="s">
        <v>101</v>
      </c>
      <c r="B50" s="1" t="s">
        <v>61</v>
      </c>
      <c r="C50" s="1"/>
      <c r="D50" s="1"/>
      <c r="E50" s="1" t="s">
        <v>124</v>
      </c>
      <c r="F50" s="1"/>
      <c r="G50" s="10">
        <f t="shared" si="0"/>
        <v>0</v>
      </c>
      <c r="H50" s="13"/>
      <c r="I50" s="42">
        <f t="shared" si="3"/>
        <v>0</v>
      </c>
      <c r="J50" s="13">
        <f t="shared" si="5"/>
        <v>0</v>
      </c>
      <c r="K50" s="13">
        <f t="shared" si="4"/>
        <v>0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 t="s">
        <v>102</v>
      </c>
      <c r="B51" s="1" t="s">
        <v>62</v>
      </c>
      <c r="C51" s="1"/>
      <c r="D51" s="1"/>
      <c r="E51" s="1" t="s">
        <v>124</v>
      </c>
      <c r="F51" s="1"/>
      <c r="G51" s="10">
        <f t="shared" si="0"/>
        <v>0</v>
      </c>
      <c r="H51" s="13"/>
      <c r="I51" s="42">
        <f t="shared" si="3"/>
        <v>0</v>
      </c>
      <c r="J51" s="13">
        <f t="shared" si="5"/>
        <v>0</v>
      </c>
      <c r="K51" s="13">
        <f t="shared" si="4"/>
        <v>0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5.5">
      <c r="A52" s="1" t="s">
        <v>103</v>
      </c>
      <c r="B52" s="6" t="s">
        <v>294</v>
      </c>
      <c r="C52" s="1"/>
      <c r="D52" s="1"/>
      <c r="E52" s="1" t="s">
        <v>124</v>
      </c>
      <c r="F52" s="1">
        <f>15+15</f>
        <v>30</v>
      </c>
      <c r="G52" s="10">
        <f t="shared" si="0"/>
        <v>12600</v>
      </c>
      <c r="H52" s="13"/>
      <c r="I52" s="42">
        <f t="shared" si="3"/>
        <v>0</v>
      </c>
      <c r="J52" s="13">
        <f t="shared" si="5"/>
        <v>12600</v>
      </c>
      <c r="K52" s="13">
        <f t="shared" si="4"/>
        <v>12600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5.5">
      <c r="A53" s="1" t="s">
        <v>104</v>
      </c>
      <c r="B53" s="6" t="s">
        <v>397</v>
      </c>
      <c r="C53" s="1"/>
      <c r="D53" s="1"/>
      <c r="E53" s="1" t="s">
        <v>124</v>
      </c>
      <c r="F53" s="1">
        <f>10.7+10+9</f>
        <v>29.7</v>
      </c>
      <c r="G53" s="10">
        <f>F53*390</f>
        <v>11583</v>
      </c>
      <c r="H53" s="13"/>
      <c r="I53" s="42">
        <f t="shared" si="3"/>
        <v>0</v>
      </c>
      <c r="J53" s="13">
        <f t="shared" si="5"/>
        <v>11583</v>
      </c>
      <c r="K53" s="13">
        <f t="shared" si="4"/>
        <v>11583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38.25">
      <c r="A54" s="1" t="s">
        <v>105</v>
      </c>
      <c r="B54" s="6" t="s">
        <v>301</v>
      </c>
      <c r="C54" s="1"/>
      <c r="D54" s="1"/>
      <c r="E54" s="1" t="s">
        <v>124</v>
      </c>
      <c r="F54" s="1">
        <f>9+12+24+19+12+24+3+19+3+6.5+1.5</f>
        <v>133</v>
      </c>
      <c r="G54" s="10">
        <f t="shared" si="0"/>
        <v>55860</v>
      </c>
      <c r="H54" s="13">
        <v>5</v>
      </c>
      <c r="I54" s="42">
        <f t="shared" si="3"/>
        <v>1950</v>
      </c>
      <c r="J54" s="13">
        <f t="shared" si="5"/>
        <v>57810</v>
      </c>
      <c r="K54" s="13">
        <f t="shared" si="4"/>
        <v>57810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5.5">
      <c r="A55" s="1" t="s">
        <v>106</v>
      </c>
      <c r="B55" s="6" t="s">
        <v>293</v>
      </c>
      <c r="C55" s="1"/>
      <c r="D55" s="1"/>
      <c r="E55" s="1" t="s">
        <v>124</v>
      </c>
      <c r="F55" s="1">
        <f>27+40+9+15+7.5</f>
        <v>98.5</v>
      </c>
      <c r="G55" s="10">
        <f t="shared" si="0"/>
        <v>41370</v>
      </c>
      <c r="H55" s="13"/>
      <c r="I55" s="42">
        <f t="shared" si="3"/>
        <v>0</v>
      </c>
      <c r="J55" s="13">
        <f t="shared" si="5"/>
        <v>41370</v>
      </c>
      <c r="K55" s="13">
        <f t="shared" si="4"/>
        <v>41370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5.5">
      <c r="A56" s="1" t="s">
        <v>107</v>
      </c>
      <c r="B56" s="6" t="s">
        <v>135</v>
      </c>
      <c r="C56" s="1"/>
      <c r="D56" s="1"/>
      <c r="E56" s="1" t="s">
        <v>124</v>
      </c>
      <c r="F56" s="1">
        <f>22+15+2.4</f>
        <v>39.4</v>
      </c>
      <c r="G56" s="10">
        <f t="shared" si="0"/>
        <v>16548</v>
      </c>
      <c r="H56" s="13"/>
      <c r="I56" s="42">
        <f t="shared" si="3"/>
        <v>0</v>
      </c>
      <c r="J56" s="13">
        <f t="shared" si="5"/>
        <v>16548</v>
      </c>
      <c r="K56" s="13">
        <f t="shared" si="4"/>
        <v>16548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5.5">
      <c r="A57" s="1"/>
      <c r="B57" s="6" t="s">
        <v>396</v>
      </c>
      <c r="C57" s="1"/>
      <c r="D57" s="6"/>
      <c r="E57" s="1" t="s">
        <v>124</v>
      </c>
      <c r="F57" s="1">
        <f>9+3+6</f>
        <v>18</v>
      </c>
      <c r="G57" s="10">
        <f>F57*390</f>
        <v>7020</v>
      </c>
      <c r="H57" s="13"/>
      <c r="I57" s="42">
        <f t="shared" si="3"/>
        <v>0</v>
      </c>
      <c r="J57" s="13">
        <f t="shared" si="5"/>
        <v>7020</v>
      </c>
      <c r="K57" s="13">
        <f t="shared" si="4"/>
        <v>7020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5.5">
      <c r="A58" s="1" t="s">
        <v>108</v>
      </c>
      <c r="B58" s="6" t="s">
        <v>346</v>
      </c>
      <c r="C58" s="1"/>
      <c r="D58" s="1"/>
      <c r="E58" s="1" t="s">
        <v>124</v>
      </c>
      <c r="F58" s="1">
        <f>10</f>
        <v>10</v>
      </c>
      <c r="G58" s="10">
        <f>F58*420</f>
        <v>4200</v>
      </c>
      <c r="H58" s="10">
        <v>32</v>
      </c>
      <c r="I58" s="42">
        <f t="shared" si="3"/>
        <v>12480</v>
      </c>
      <c r="J58" s="13">
        <f t="shared" si="5"/>
        <v>16680</v>
      </c>
      <c r="K58" s="13">
        <f t="shared" si="4"/>
        <v>16680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3.5" thickBot="1">
      <c r="A59" s="4"/>
      <c r="B59" s="11" t="s">
        <v>140</v>
      </c>
      <c r="C59" s="4"/>
      <c r="D59" s="4"/>
      <c r="E59" s="4"/>
      <c r="F59" s="12">
        <f>SUM(F8:F58)</f>
        <v>1208.3000000000002</v>
      </c>
      <c r="G59" s="12">
        <f>SUM(G8:G58)</f>
        <v>492435</v>
      </c>
      <c r="H59" s="12"/>
      <c r="I59" s="43">
        <f>SUM(I8:I58)</f>
        <v>634881</v>
      </c>
      <c r="J59" s="12">
        <f>SUM(J8:J58)</f>
        <v>1127316</v>
      </c>
      <c r="K59" s="12">
        <f>SUM(K8:K58)</f>
        <v>1127316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5.75">
      <c r="A60" s="5" t="s">
        <v>109</v>
      </c>
      <c r="B60" s="5" t="s">
        <v>110</v>
      </c>
      <c r="C60" s="2"/>
      <c r="D60" s="2"/>
      <c r="E60" s="2"/>
      <c r="F60" s="2"/>
      <c r="G60" s="2"/>
      <c r="H60" s="2"/>
      <c r="I60" s="13">
        <f t="shared" si="3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25.5">
      <c r="A61" s="1"/>
      <c r="B61" s="6" t="s">
        <v>236</v>
      </c>
      <c r="C61" s="1"/>
      <c r="D61" s="1"/>
      <c r="E61" s="1" t="s">
        <v>128</v>
      </c>
      <c r="F61" s="1"/>
      <c r="G61" s="10">
        <f aca="true" t="shared" si="6" ref="G61:G67">F61*1284</f>
        <v>0</v>
      </c>
      <c r="H61" s="10"/>
      <c r="I61" s="13">
        <f t="shared" si="3"/>
        <v>0</v>
      </c>
      <c r="J61" s="10"/>
      <c r="K61" s="10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3.5" thickBot="1">
      <c r="A62" s="14"/>
      <c r="B62" t="s">
        <v>21</v>
      </c>
      <c r="C62" s="14" t="s">
        <v>367</v>
      </c>
      <c r="D62" s="14"/>
      <c r="E62" s="14" t="s">
        <v>195</v>
      </c>
      <c r="F62" s="14">
        <v>12</v>
      </c>
      <c r="G62" s="14">
        <f t="shared" si="6"/>
        <v>15408</v>
      </c>
      <c r="H62" s="16"/>
      <c r="I62" s="13"/>
      <c r="J62" s="16">
        <f>G62+I62</f>
        <v>15408</v>
      </c>
      <c r="K62" s="16">
        <f>J62</f>
        <v>15408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 ht="13.5" thickBot="1">
      <c r="A63" s="14"/>
      <c r="B63" s="37" t="s">
        <v>22</v>
      </c>
      <c r="C63" s="14" t="s">
        <v>370</v>
      </c>
      <c r="D63" s="14" t="s">
        <v>373</v>
      </c>
      <c r="E63" s="14" t="s">
        <v>195</v>
      </c>
      <c r="F63" s="14">
        <v>32</v>
      </c>
      <c r="G63" s="14">
        <f>50200+F63*1284</f>
        <v>91288</v>
      </c>
      <c r="H63" s="16"/>
      <c r="I63" s="13"/>
      <c r="J63" s="16">
        <f aca="true" t="shared" si="7" ref="J63:J111">G63+I63</f>
        <v>91288</v>
      </c>
      <c r="K63" s="16">
        <f aca="true" t="shared" si="8" ref="K63:K110">J63</f>
        <v>91288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 ht="13.5" thickBot="1">
      <c r="A64" s="14"/>
      <c r="B64" t="s">
        <v>23</v>
      </c>
      <c r="C64" s="14" t="s">
        <v>372</v>
      </c>
      <c r="D64" s="14" t="s">
        <v>368</v>
      </c>
      <c r="E64" s="14" t="s">
        <v>195</v>
      </c>
      <c r="F64" s="14">
        <v>14</v>
      </c>
      <c r="G64" s="14">
        <f t="shared" si="6"/>
        <v>17976</v>
      </c>
      <c r="H64" s="16"/>
      <c r="I64" s="13"/>
      <c r="J64" s="16">
        <f t="shared" si="7"/>
        <v>17976</v>
      </c>
      <c r="K64" s="16">
        <f t="shared" si="8"/>
        <v>17976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:23" ht="13.5" thickBot="1">
      <c r="A65" s="14"/>
      <c r="B65" s="37" t="s">
        <v>24</v>
      </c>
      <c r="C65" s="14"/>
      <c r="D65" s="14" t="s">
        <v>369</v>
      </c>
      <c r="E65" s="14" t="s">
        <v>195</v>
      </c>
      <c r="F65" s="14">
        <v>27</v>
      </c>
      <c r="G65" s="14">
        <f>50200+F65*1284</f>
        <v>84868</v>
      </c>
      <c r="H65" s="16"/>
      <c r="I65" s="13"/>
      <c r="J65" s="16">
        <f t="shared" si="7"/>
        <v>84868</v>
      </c>
      <c r="K65" s="16">
        <f t="shared" si="8"/>
        <v>84868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:23" ht="26.25" customHeight="1" thickBot="1">
      <c r="A66" s="14"/>
      <c r="B66" t="s">
        <v>25</v>
      </c>
      <c r="C66" s="14" t="s">
        <v>378</v>
      </c>
      <c r="D66" s="15" t="s">
        <v>349</v>
      </c>
      <c r="E66" s="14" t="s">
        <v>195</v>
      </c>
      <c r="F66" s="14" t="s">
        <v>356</v>
      </c>
      <c r="G66" s="14">
        <f>3000+6*1284</f>
        <v>10704</v>
      </c>
      <c r="H66" s="16"/>
      <c r="I66" s="13"/>
      <c r="J66" s="16">
        <f t="shared" si="7"/>
        <v>10704</v>
      </c>
      <c r="K66" s="16">
        <f t="shared" si="8"/>
        <v>10704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 ht="13.5" thickBot="1">
      <c r="A67" s="14"/>
      <c r="B67" s="37" t="s">
        <v>26</v>
      </c>
      <c r="C67" s="14"/>
      <c r="D67" s="14"/>
      <c r="E67" s="14" t="s">
        <v>195</v>
      </c>
      <c r="F67" s="14">
        <v>10</v>
      </c>
      <c r="G67" s="14">
        <f t="shared" si="6"/>
        <v>12840</v>
      </c>
      <c r="H67" s="14"/>
      <c r="I67" s="13">
        <f t="shared" si="3"/>
        <v>0</v>
      </c>
      <c r="J67" s="16">
        <f t="shared" si="7"/>
        <v>12840</v>
      </c>
      <c r="K67" s="16">
        <f t="shared" si="8"/>
        <v>12840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 ht="13.5" thickBot="1">
      <c r="A68" s="14"/>
      <c r="B68" t="s">
        <v>27</v>
      </c>
      <c r="C68" s="14"/>
      <c r="D68" s="14"/>
      <c r="E68" s="14" t="s">
        <v>195</v>
      </c>
      <c r="F68" s="14"/>
      <c r="G68" s="14">
        <f aca="true" t="shared" si="9" ref="G68:G110">F68*1284</f>
        <v>0</v>
      </c>
      <c r="H68" s="16"/>
      <c r="I68" s="13"/>
      <c r="J68" s="16">
        <f t="shared" si="7"/>
        <v>0</v>
      </c>
      <c r="K68" s="16">
        <f t="shared" si="8"/>
        <v>0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 ht="13.5" thickBot="1">
      <c r="A69" s="14"/>
      <c r="B69" s="37" t="s">
        <v>28</v>
      </c>
      <c r="C69" s="14"/>
      <c r="D69" s="14"/>
      <c r="E69" s="14" t="s">
        <v>195</v>
      </c>
      <c r="F69" s="14"/>
      <c r="G69" s="14">
        <f t="shared" si="9"/>
        <v>0</v>
      </c>
      <c r="H69" s="16"/>
      <c r="I69" s="13"/>
      <c r="J69" s="16">
        <f t="shared" si="7"/>
        <v>0</v>
      </c>
      <c r="K69" s="16">
        <f t="shared" si="8"/>
        <v>0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ht="13.5" thickBot="1">
      <c r="A70" s="14"/>
      <c r="B70" t="s">
        <v>29</v>
      </c>
      <c r="C70" s="14"/>
      <c r="D70" s="14"/>
      <c r="E70" s="14" t="s">
        <v>195</v>
      </c>
      <c r="F70" s="14"/>
      <c r="G70" s="14">
        <f t="shared" si="9"/>
        <v>0</v>
      </c>
      <c r="H70" s="16"/>
      <c r="I70" s="13"/>
      <c r="J70" s="16">
        <f t="shared" si="7"/>
        <v>0</v>
      </c>
      <c r="K70" s="16">
        <f t="shared" si="8"/>
        <v>0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ht="13.5" thickBot="1">
      <c r="A71" s="14"/>
      <c r="B71" s="37" t="s">
        <v>30</v>
      </c>
      <c r="C71" s="14"/>
      <c r="D71" s="14"/>
      <c r="E71" s="14" t="s">
        <v>195</v>
      </c>
      <c r="F71" s="14"/>
      <c r="G71" s="14">
        <f t="shared" si="9"/>
        <v>0</v>
      </c>
      <c r="H71" s="16"/>
      <c r="I71" s="13"/>
      <c r="J71" s="16">
        <f t="shared" si="7"/>
        <v>0</v>
      </c>
      <c r="K71" s="16">
        <f t="shared" si="8"/>
        <v>0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ht="13.5" thickBot="1">
      <c r="A72" s="14"/>
      <c r="B72" t="s">
        <v>31</v>
      </c>
      <c r="C72" s="14"/>
      <c r="D72" s="14"/>
      <c r="E72" s="14" t="s">
        <v>195</v>
      </c>
      <c r="F72" s="14">
        <v>20</v>
      </c>
      <c r="G72" s="14">
        <f t="shared" si="9"/>
        <v>25680</v>
      </c>
      <c r="H72" s="16"/>
      <c r="I72" s="13"/>
      <c r="J72" s="16">
        <f t="shared" si="7"/>
        <v>25680</v>
      </c>
      <c r="K72" s="16">
        <f t="shared" si="8"/>
        <v>25680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 ht="13.5" thickBot="1">
      <c r="A73" s="14"/>
      <c r="B73" s="37" t="s">
        <v>32</v>
      </c>
      <c r="C73" s="14"/>
      <c r="D73" s="14"/>
      <c r="E73" s="14" t="s">
        <v>195</v>
      </c>
      <c r="F73" s="14"/>
      <c r="G73" s="14">
        <f t="shared" si="9"/>
        <v>0</v>
      </c>
      <c r="H73" s="16"/>
      <c r="I73" s="13"/>
      <c r="J73" s="16">
        <f t="shared" si="7"/>
        <v>0</v>
      </c>
      <c r="K73" s="16">
        <f t="shared" si="8"/>
        <v>0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 ht="13.5" thickBot="1">
      <c r="A74" s="14"/>
      <c r="B74" t="s">
        <v>33</v>
      </c>
      <c r="C74" s="14"/>
      <c r="D74" s="14"/>
      <c r="E74" s="14" t="s">
        <v>195</v>
      </c>
      <c r="F74" s="14">
        <v>15</v>
      </c>
      <c r="G74" s="14">
        <f t="shared" si="9"/>
        <v>19260</v>
      </c>
      <c r="H74" s="16"/>
      <c r="I74" s="13"/>
      <c r="J74" s="16">
        <f t="shared" si="7"/>
        <v>19260</v>
      </c>
      <c r="K74" s="16">
        <f t="shared" si="8"/>
        <v>19260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3" ht="13.5" thickBot="1">
      <c r="A75" s="14"/>
      <c r="B75" s="37" t="s">
        <v>34</v>
      </c>
      <c r="C75" s="14" t="s">
        <v>365</v>
      </c>
      <c r="D75" s="14"/>
      <c r="E75" s="14" t="s">
        <v>195</v>
      </c>
      <c r="F75" s="14">
        <v>18</v>
      </c>
      <c r="G75" s="14">
        <f t="shared" si="9"/>
        <v>23112</v>
      </c>
      <c r="H75" s="16"/>
      <c r="I75" s="13"/>
      <c r="J75" s="16">
        <f t="shared" si="7"/>
        <v>23112</v>
      </c>
      <c r="K75" s="16">
        <f t="shared" si="8"/>
        <v>23112</v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 ht="13.5" thickBot="1">
      <c r="A76" s="14"/>
      <c r="B76" t="s">
        <v>35</v>
      </c>
      <c r="C76" s="14" t="s">
        <v>364</v>
      </c>
      <c r="D76" s="14" t="s">
        <v>334</v>
      </c>
      <c r="E76" s="14" t="s">
        <v>195</v>
      </c>
      <c r="F76" s="14">
        <v>25</v>
      </c>
      <c r="G76" s="14">
        <f>F76*1284+50200</f>
        <v>82300</v>
      </c>
      <c r="H76" s="16"/>
      <c r="I76" s="13"/>
      <c r="J76" s="16">
        <f t="shared" si="7"/>
        <v>82300</v>
      </c>
      <c r="K76" s="16">
        <f t="shared" si="8"/>
        <v>82300</v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1:23" ht="13.5" thickBot="1">
      <c r="A77" s="14"/>
      <c r="B77" s="37" t="s">
        <v>36</v>
      </c>
      <c r="C77" s="14"/>
      <c r="D77" s="14"/>
      <c r="E77" s="14" t="s">
        <v>195</v>
      </c>
      <c r="F77" s="14">
        <v>10</v>
      </c>
      <c r="G77" s="14">
        <f t="shared" si="9"/>
        <v>12840</v>
      </c>
      <c r="H77" s="16"/>
      <c r="I77" s="13"/>
      <c r="J77" s="16">
        <f t="shared" si="7"/>
        <v>12840</v>
      </c>
      <c r="K77" s="16">
        <f t="shared" si="8"/>
        <v>12840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23" ht="29.25" customHeight="1" thickBot="1">
      <c r="A78" s="14"/>
      <c r="B78" t="s">
        <v>37</v>
      </c>
      <c r="C78" s="14" t="s">
        <v>362</v>
      </c>
      <c r="D78" s="15" t="s">
        <v>361</v>
      </c>
      <c r="E78" s="14" t="s">
        <v>195</v>
      </c>
      <c r="F78" s="14">
        <f>15+24</f>
        <v>39</v>
      </c>
      <c r="G78" s="14">
        <f t="shared" si="9"/>
        <v>50076</v>
      </c>
      <c r="H78" s="16"/>
      <c r="I78" s="13"/>
      <c r="J78" s="16">
        <f t="shared" si="7"/>
        <v>50076</v>
      </c>
      <c r="K78" s="16">
        <f t="shared" si="8"/>
        <v>50076</v>
      </c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23" ht="26.25" thickBot="1">
      <c r="A79" s="14"/>
      <c r="B79" s="37" t="s">
        <v>38</v>
      </c>
      <c r="C79" s="14" t="s">
        <v>363</v>
      </c>
      <c r="D79" s="15" t="s">
        <v>361</v>
      </c>
      <c r="E79" s="14" t="s">
        <v>195</v>
      </c>
      <c r="F79" s="14"/>
      <c r="G79" s="14">
        <f t="shared" si="9"/>
        <v>0</v>
      </c>
      <c r="H79" s="16"/>
      <c r="I79" s="13"/>
      <c r="J79" s="16">
        <f t="shared" si="7"/>
        <v>0</v>
      </c>
      <c r="K79" s="16">
        <f t="shared" si="8"/>
        <v>0</v>
      </c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23" ht="13.5" thickBot="1">
      <c r="A80" s="14"/>
      <c r="B80" t="s">
        <v>39</v>
      </c>
      <c r="C80" s="14"/>
      <c r="D80" s="14"/>
      <c r="E80" s="14" t="s">
        <v>195</v>
      </c>
      <c r="F80" s="14">
        <v>15</v>
      </c>
      <c r="G80" s="14">
        <f t="shared" si="9"/>
        <v>19260</v>
      </c>
      <c r="H80" s="16"/>
      <c r="I80" s="13"/>
      <c r="J80" s="16">
        <f t="shared" si="7"/>
        <v>19260</v>
      </c>
      <c r="K80" s="16">
        <f t="shared" si="8"/>
        <v>19260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1:23" ht="13.5" thickBot="1">
      <c r="A81" s="14"/>
      <c r="B81" s="37" t="s">
        <v>40</v>
      </c>
      <c r="C81" s="14"/>
      <c r="D81" s="14"/>
      <c r="E81" s="14" t="s">
        <v>195</v>
      </c>
      <c r="F81" s="14">
        <v>15</v>
      </c>
      <c r="G81" s="14">
        <f t="shared" si="9"/>
        <v>19260</v>
      </c>
      <c r="H81" s="16"/>
      <c r="I81" s="13"/>
      <c r="J81" s="16">
        <f t="shared" si="7"/>
        <v>19260</v>
      </c>
      <c r="K81" s="16">
        <f t="shared" si="8"/>
        <v>19260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ht="39" thickBot="1">
      <c r="A82" s="14"/>
      <c r="B82" s="15" t="s">
        <v>371</v>
      </c>
      <c r="C82" s="14"/>
      <c r="D82" s="15" t="s">
        <v>335</v>
      </c>
      <c r="E82" s="14" t="s">
        <v>195</v>
      </c>
      <c r="F82" s="14">
        <f>5+9+10</f>
        <v>24</v>
      </c>
      <c r="G82" s="14">
        <f t="shared" si="9"/>
        <v>30816</v>
      </c>
      <c r="H82" s="16"/>
      <c r="I82" s="13"/>
      <c r="J82" s="16">
        <f t="shared" si="7"/>
        <v>30816</v>
      </c>
      <c r="K82" s="16">
        <f t="shared" si="8"/>
        <v>30816</v>
      </c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 ht="13.5" thickBot="1">
      <c r="A83" s="14"/>
      <c r="B83" s="37" t="s">
        <v>42</v>
      </c>
      <c r="C83" s="14" t="s">
        <v>380</v>
      </c>
      <c r="D83" s="14" t="s">
        <v>358</v>
      </c>
      <c r="E83" s="14" t="s">
        <v>195</v>
      </c>
      <c r="F83" s="14">
        <v>5</v>
      </c>
      <c r="G83" s="14">
        <f>F83*1284+50200</f>
        <v>56620</v>
      </c>
      <c r="H83" s="16"/>
      <c r="I83" s="13"/>
      <c r="J83" s="16">
        <f t="shared" si="7"/>
        <v>56620</v>
      </c>
      <c r="K83" s="16">
        <f t="shared" si="8"/>
        <v>56620</v>
      </c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1:23" ht="13.5" thickBot="1">
      <c r="A84" s="14"/>
      <c r="B84" t="s">
        <v>43</v>
      </c>
      <c r="C84" s="14"/>
      <c r="D84" s="14"/>
      <c r="E84" s="14" t="s">
        <v>195</v>
      </c>
      <c r="F84" s="14">
        <v>5</v>
      </c>
      <c r="G84" s="14">
        <f t="shared" si="9"/>
        <v>6420</v>
      </c>
      <c r="H84" s="16"/>
      <c r="I84" s="13"/>
      <c r="J84" s="16">
        <f t="shared" si="7"/>
        <v>6420</v>
      </c>
      <c r="K84" s="16">
        <f t="shared" si="8"/>
        <v>6420</v>
      </c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1:23" ht="13.5" thickBot="1">
      <c r="A85" s="14"/>
      <c r="B85" s="37" t="s">
        <v>44</v>
      </c>
      <c r="C85" s="14"/>
      <c r="D85" s="14"/>
      <c r="E85" s="14" t="s">
        <v>195</v>
      </c>
      <c r="F85" s="14">
        <v>5</v>
      </c>
      <c r="G85" s="14">
        <f t="shared" si="9"/>
        <v>6420</v>
      </c>
      <c r="H85" s="16"/>
      <c r="I85" s="13"/>
      <c r="J85" s="16">
        <f t="shared" si="7"/>
        <v>6420</v>
      </c>
      <c r="K85" s="16">
        <f t="shared" si="8"/>
        <v>6420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1:23" ht="13.5" thickBot="1">
      <c r="A86" s="14"/>
      <c r="B86" t="s">
        <v>45</v>
      </c>
      <c r="C86" s="14"/>
      <c r="D86" s="14" t="s">
        <v>334</v>
      </c>
      <c r="E86" s="14" t="s">
        <v>195</v>
      </c>
      <c r="F86" s="14">
        <v>6</v>
      </c>
      <c r="G86" s="14">
        <f>50200+F86*1284</f>
        <v>57904</v>
      </c>
      <c r="H86" s="16"/>
      <c r="I86" s="13"/>
      <c r="J86" s="16">
        <f t="shared" si="7"/>
        <v>57904</v>
      </c>
      <c r="K86" s="16">
        <f t="shared" si="8"/>
        <v>57904</v>
      </c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1:23" ht="13.5" thickBot="1">
      <c r="A87" s="14"/>
      <c r="B87" s="37" t="s">
        <v>46</v>
      </c>
      <c r="C87" s="14"/>
      <c r="D87" s="14"/>
      <c r="E87" s="14" t="s">
        <v>195</v>
      </c>
      <c r="F87" s="14">
        <v>40</v>
      </c>
      <c r="G87" s="14">
        <f t="shared" si="9"/>
        <v>51360</v>
      </c>
      <c r="H87" s="16"/>
      <c r="I87" s="13"/>
      <c r="J87" s="16">
        <f t="shared" si="7"/>
        <v>51360</v>
      </c>
      <c r="K87" s="16">
        <f t="shared" si="8"/>
        <v>51360</v>
      </c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:23" ht="13.5" thickBot="1">
      <c r="A88" s="14"/>
      <c r="B88" t="s">
        <v>47</v>
      </c>
      <c r="C88" s="14" t="s">
        <v>380</v>
      </c>
      <c r="D88" s="14"/>
      <c r="E88" s="14" t="s">
        <v>195</v>
      </c>
      <c r="F88" s="14">
        <v>15</v>
      </c>
      <c r="G88" s="14">
        <f t="shared" si="9"/>
        <v>19260</v>
      </c>
      <c r="H88" s="16"/>
      <c r="I88" s="13"/>
      <c r="J88" s="16">
        <f t="shared" si="7"/>
        <v>19260</v>
      </c>
      <c r="K88" s="16">
        <f t="shared" si="8"/>
        <v>19260</v>
      </c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1:23" ht="13.5" thickBot="1">
      <c r="A89" s="14"/>
      <c r="B89" s="37" t="s">
        <v>48</v>
      </c>
      <c r="C89" s="14"/>
      <c r="D89" s="14"/>
      <c r="E89" s="14" t="s">
        <v>195</v>
      </c>
      <c r="F89" s="14">
        <v>15</v>
      </c>
      <c r="G89" s="14">
        <f t="shared" si="9"/>
        <v>19260</v>
      </c>
      <c r="H89" s="16"/>
      <c r="I89" s="13"/>
      <c r="J89" s="16">
        <f t="shared" si="7"/>
        <v>19260</v>
      </c>
      <c r="K89" s="16">
        <f t="shared" si="8"/>
        <v>19260</v>
      </c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1:23" ht="13.5" thickBot="1">
      <c r="A90" s="14"/>
      <c r="B90" t="s">
        <v>49</v>
      </c>
      <c r="C90" s="14"/>
      <c r="D90" s="14"/>
      <c r="E90" s="14" t="s">
        <v>195</v>
      </c>
      <c r="F90" s="14">
        <v>15</v>
      </c>
      <c r="G90" s="14">
        <f t="shared" si="9"/>
        <v>19260</v>
      </c>
      <c r="H90" s="16"/>
      <c r="I90" s="13"/>
      <c r="J90" s="16">
        <f t="shared" si="7"/>
        <v>19260</v>
      </c>
      <c r="K90" s="16">
        <f t="shared" si="8"/>
        <v>19260</v>
      </c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23" ht="13.5" thickBot="1">
      <c r="A91" s="14"/>
      <c r="B91" s="37" t="s">
        <v>50</v>
      </c>
      <c r="C91" s="14"/>
      <c r="D91" s="14"/>
      <c r="E91" s="14" t="s">
        <v>195</v>
      </c>
      <c r="F91" s="14">
        <v>5</v>
      </c>
      <c r="G91" s="14">
        <f t="shared" si="9"/>
        <v>6420</v>
      </c>
      <c r="H91" s="16"/>
      <c r="I91" s="13"/>
      <c r="J91" s="16">
        <f t="shared" si="7"/>
        <v>6420</v>
      </c>
      <c r="K91" s="16">
        <f t="shared" si="8"/>
        <v>6420</v>
      </c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 ht="13.5" thickBot="1">
      <c r="A92" s="14"/>
      <c r="B92" t="s">
        <v>51</v>
      </c>
      <c r="C92" s="14"/>
      <c r="D92" s="14" t="s">
        <v>366</v>
      </c>
      <c r="E92" s="14" t="s">
        <v>195</v>
      </c>
      <c r="F92" s="14"/>
      <c r="G92" s="14">
        <v>4000</v>
      </c>
      <c r="H92" s="16"/>
      <c r="I92" s="13"/>
      <c r="J92" s="16">
        <f t="shared" si="7"/>
        <v>4000</v>
      </c>
      <c r="K92" s="16">
        <f t="shared" si="8"/>
        <v>4000</v>
      </c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1:23" ht="13.5" thickBot="1">
      <c r="A93" s="14"/>
      <c r="B93" s="37" t="s">
        <v>52</v>
      </c>
      <c r="C93" s="14"/>
      <c r="D93" s="14"/>
      <c r="E93" s="14" t="s">
        <v>195</v>
      </c>
      <c r="F93" s="14">
        <v>10</v>
      </c>
      <c r="G93" s="14">
        <f t="shared" si="9"/>
        <v>12840</v>
      </c>
      <c r="H93" s="16"/>
      <c r="I93" s="13"/>
      <c r="J93" s="16">
        <f t="shared" si="7"/>
        <v>12840</v>
      </c>
      <c r="K93" s="16">
        <f t="shared" si="8"/>
        <v>12840</v>
      </c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1:23" ht="13.5" thickBot="1">
      <c r="A94" s="14"/>
      <c r="B94" t="s">
        <v>53</v>
      </c>
      <c r="C94" s="14"/>
      <c r="D94" s="14"/>
      <c r="E94" s="14" t="s">
        <v>195</v>
      </c>
      <c r="F94" s="14"/>
      <c r="G94" s="14">
        <f t="shared" si="9"/>
        <v>0</v>
      </c>
      <c r="H94" s="16"/>
      <c r="I94" s="13"/>
      <c r="J94" s="16">
        <f t="shared" si="7"/>
        <v>0</v>
      </c>
      <c r="K94" s="16">
        <f t="shared" si="8"/>
        <v>0</v>
      </c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1:23" ht="13.5" thickBot="1">
      <c r="A95" s="14"/>
      <c r="B95" s="53" t="s">
        <v>54</v>
      </c>
      <c r="C95" s="14"/>
      <c r="D95" s="14"/>
      <c r="E95" s="14" t="s">
        <v>195</v>
      </c>
      <c r="F95" s="14"/>
      <c r="G95" s="14">
        <f t="shared" si="9"/>
        <v>0</v>
      </c>
      <c r="H95" s="16"/>
      <c r="I95" s="13"/>
      <c r="J95" s="16">
        <f t="shared" si="7"/>
        <v>0</v>
      </c>
      <c r="K95" s="16">
        <f t="shared" si="8"/>
        <v>0</v>
      </c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 ht="13.5" thickBot="1">
      <c r="A96" s="14"/>
      <c r="B96" t="s">
        <v>55</v>
      </c>
      <c r="C96" s="14"/>
      <c r="D96" s="14"/>
      <c r="E96" s="14" t="s">
        <v>195</v>
      </c>
      <c r="F96" s="14">
        <v>5</v>
      </c>
      <c r="G96" s="14">
        <f t="shared" si="9"/>
        <v>6420</v>
      </c>
      <c r="H96" s="16"/>
      <c r="I96" s="13"/>
      <c r="J96" s="16">
        <f t="shared" si="7"/>
        <v>6420</v>
      </c>
      <c r="K96" s="16">
        <f t="shared" si="8"/>
        <v>6420</v>
      </c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:23" ht="13.5" thickBot="1">
      <c r="A97" s="14"/>
      <c r="B97" s="37" t="s">
        <v>56</v>
      </c>
      <c r="C97" s="14"/>
      <c r="D97" s="14"/>
      <c r="E97" s="14" t="s">
        <v>195</v>
      </c>
      <c r="F97" s="14">
        <v>30</v>
      </c>
      <c r="G97" s="14">
        <f t="shared" si="9"/>
        <v>38520</v>
      </c>
      <c r="H97" s="16"/>
      <c r="I97" s="13"/>
      <c r="J97" s="16">
        <f t="shared" si="7"/>
        <v>38520</v>
      </c>
      <c r="K97" s="16">
        <f t="shared" si="8"/>
        <v>38520</v>
      </c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1:23" ht="13.5" thickBot="1">
      <c r="A98" s="14"/>
      <c r="B98" t="s">
        <v>57</v>
      </c>
      <c r="C98" s="14" t="s">
        <v>375</v>
      </c>
      <c r="D98" s="14"/>
      <c r="E98" s="14" t="s">
        <v>195</v>
      </c>
      <c r="F98" s="14">
        <v>8</v>
      </c>
      <c r="G98" s="14">
        <f t="shared" si="9"/>
        <v>10272</v>
      </c>
      <c r="H98" s="16"/>
      <c r="I98" s="13"/>
      <c r="J98" s="16">
        <f t="shared" si="7"/>
        <v>10272</v>
      </c>
      <c r="K98" s="16">
        <f t="shared" si="8"/>
        <v>10272</v>
      </c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1:23" ht="13.5" thickBot="1">
      <c r="A99" s="14"/>
      <c r="B99" s="37" t="s">
        <v>58</v>
      </c>
      <c r="C99" s="14" t="s">
        <v>372</v>
      </c>
      <c r="D99" s="14"/>
      <c r="E99" s="14" t="s">
        <v>195</v>
      </c>
      <c r="F99" s="14">
        <v>4</v>
      </c>
      <c r="G99" s="14">
        <f t="shared" si="9"/>
        <v>5136</v>
      </c>
      <c r="H99" s="16"/>
      <c r="I99" s="13"/>
      <c r="J99" s="16">
        <f t="shared" si="7"/>
        <v>5136</v>
      </c>
      <c r="K99" s="16">
        <f t="shared" si="8"/>
        <v>5136</v>
      </c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spans="1:23" ht="12.75">
      <c r="A100" s="14"/>
      <c r="B100" t="s">
        <v>352</v>
      </c>
      <c r="C100" s="14"/>
      <c r="D100" s="14"/>
      <c r="E100" s="14" t="s">
        <v>195</v>
      </c>
      <c r="F100" s="14">
        <v>5</v>
      </c>
      <c r="G100" s="14">
        <f t="shared" si="9"/>
        <v>6420</v>
      </c>
      <c r="H100" s="16"/>
      <c r="I100" s="13"/>
      <c r="J100" s="16">
        <f t="shared" si="7"/>
        <v>6420</v>
      </c>
      <c r="K100" s="16">
        <f t="shared" si="8"/>
        <v>6420</v>
      </c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1:23" ht="13.5" thickBot="1">
      <c r="A101" s="14"/>
      <c r="B101" t="s">
        <v>59</v>
      </c>
      <c r="C101" s="14" t="s">
        <v>385</v>
      </c>
      <c r="D101" s="14" t="s">
        <v>374</v>
      </c>
      <c r="E101" s="14" t="s">
        <v>195</v>
      </c>
      <c r="F101" s="14">
        <v>24</v>
      </c>
      <c r="G101" s="14">
        <f t="shared" si="9"/>
        <v>30816</v>
      </c>
      <c r="H101" s="16"/>
      <c r="I101" s="13"/>
      <c r="J101" s="16">
        <f t="shared" si="7"/>
        <v>30816</v>
      </c>
      <c r="K101" s="16">
        <f t="shared" si="8"/>
        <v>30816</v>
      </c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1:23" ht="13.5" thickBot="1">
      <c r="A102" s="14"/>
      <c r="B102" s="37" t="s">
        <v>60</v>
      </c>
      <c r="C102" s="14"/>
      <c r="D102" s="14"/>
      <c r="E102" s="14" t="s">
        <v>195</v>
      </c>
      <c r="F102" s="14">
        <v>50</v>
      </c>
      <c r="G102" s="14">
        <f t="shared" si="9"/>
        <v>64200</v>
      </c>
      <c r="H102" s="16"/>
      <c r="I102" s="13"/>
      <c r="J102" s="16">
        <f t="shared" si="7"/>
        <v>64200</v>
      </c>
      <c r="K102" s="16">
        <f t="shared" si="8"/>
        <v>64200</v>
      </c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1:23" ht="13.5" thickBot="1">
      <c r="A103" s="14"/>
      <c r="B103" t="s">
        <v>61</v>
      </c>
      <c r="C103" s="14" t="s">
        <v>375</v>
      </c>
      <c r="D103" s="14"/>
      <c r="E103" s="14" t="s">
        <v>195</v>
      </c>
      <c r="F103" s="14">
        <v>60</v>
      </c>
      <c r="G103" s="14">
        <f t="shared" si="9"/>
        <v>77040</v>
      </c>
      <c r="H103" s="16"/>
      <c r="I103" s="13"/>
      <c r="J103" s="16">
        <f t="shared" si="7"/>
        <v>77040</v>
      </c>
      <c r="K103" s="16">
        <f t="shared" si="8"/>
        <v>77040</v>
      </c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1:23" ht="13.5" thickBot="1">
      <c r="A104" s="14"/>
      <c r="B104" s="37" t="s">
        <v>62</v>
      </c>
      <c r="C104" s="14"/>
      <c r="D104" s="14"/>
      <c r="E104" s="14" t="s">
        <v>195</v>
      </c>
      <c r="F104" s="14"/>
      <c r="G104" s="14">
        <f t="shared" si="9"/>
        <v>0</v>
      </c>
      <c r="H104" s="16"/>
      <c r="I104" s="13"/>
      <c r="J104" s="16">
        <f t="shared" si="7"/>
        <v>0</v>
      </c>
      <c r="K104" s="16">
        <f t="shared" si="8"/>
        <v>0</v>
      </c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1:23" ht="13.5" thickBot="1">
      <c r="A105" s="14"/>
      <c r="B105" t="s">
        <v>63</v>
      </c>
      <c r="C105" s="14"/>
      <c r="D105" s="14"/>
      <c r="E105" s="14" t="s">
        <v>195</v>
      </c>
      <c r="F105" s="14">
        <v>14</v>
      </c>
      <c r="G105" s="14">
        <f t="shared" si="9"/>
        <v>17976</v>
      </c>
      <c r="H105" s="16"/>
      <c r="I105" s="13"/>
      <c r="J105" s="16">
        <f t="shared" si="7"/>
        <v>17976</v>
      </c>
      <c r="K105" s="16">
        <f t="shared" si="8"/>
        <v>17976</v>
      </c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1:23" ht="13.5" thickBot="1">
      <c r="A106" s="14"/>
      <c r="B106" s="37" t="s">
        <v>64</v>
      </c>
      <c r="C106" s="14"/>
      <c r="D106" s="14"/>
      <c r="E106" s="14" t="s">
        <v>195</v>
      </c>
      <c r="F106" s="14">
        <v>19</v>
      </c>
      <c r="G106" s="14">
        <f t="shared" si="9"/>
        <v>24396</v>
      </c>
      <c r="H106" s="16"/>
      <c r="I106" s="13"/>
      <c r="J106" s="16">
        <f t="shared" si="7"/>
        <v>24396</v>
      </c>
      <c r="K106" s="16">
        <f t="shared" si="8"/>
        <v>24396</v>
      </c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1:23" ht="13.5" thickBot="1">
      <c r="A107" s="14"/>
      <c r="B107" t="s">
        <v>65</v>
      </c>
      <c r="C107" s="14"/>
      <c r="D107" s="14" t="s">
        <v>379</v>
      </c>
      <c r="E107" s="14" t="s">
        <v>195</v>
      </c>
      <c r="F107" s="14">
        <v>12</v>
      </c>
      <c r="G107" s="14">
        <f t="shared" si="9"/>
        <v>15408</v>
      </c>
      <c r="H107" s="16"/>
      <c r="I107" s="13"/>
      <c r="J107" s="16">
        <f t="shared" si="7"/>
        <v>15408</v>
      </c>
      <c r="K107" s="16">
        <f t="shared" si="8"/>
        <v>15408</v>
      </c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spans="1:23" ht="36" customHeight="1" thickBot="1">
      <c r="A108" s="14"/>
      <c r="B108" s="37" t="s">
        <v>66</v>
      </c>
      <c r="C108" s="14" t="s">
        <v>376</v>
      </c>
      <c r="D108" s="14">
        <v>99</v>
      </c>
      <c r="E108" s="14" t="s">
        <v>195</v>
      </c>
      <c r="F108" s="14">
        <v>22</v>
      </c>
      <c r="G108" s="14">
        <f t="shared" si="9"/>
        <v>28248</v>
      </c>
      <c r="H108" s="16"/>
      <c r="I108" s="13"/>
      <c r="J108" s="16">
        <f t="shared" si="7"/>
        <v>28248</v>
      </c>
      <c r="K108" s="16">
        <f t="shared" si="8"/>
        <v>28248</v>
      </c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spans="1:23" ht="23.25" customHeight="1" thickBot="1">
      <c r="A109" s="14"/>
      <c r="B109" t="s">
        <v>67</v>
      </c>
      <c r="C109" s="14"/>
      <c r="D109" s="15" t="s">
        <v>351</v>
      </c>
      <c r="E109" s="14" t="s">
        <v>195</v>
      </c>
      <c r="F109" s="14">
        <v>36</v>
      </c>
      <c r="G109" s="14">
        <f t="shared" si="9"/>
        <v>46224</v>
      </c>
      <c r="H109" s="16"/>
      <c r="I109" s="13"/>
      <c r="J109" s="16">
        <f t="shared" si="7"/>
        <v>46224</v>
      </c>
      <c r="K109" s="16">
        <f t="shared" si="8"/>
        <v>46224</v>
      </c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spans="1:23" ht="12.75">
      <c r="A110" s="14"/>
      <c r="B110" s="38" t="s">
        <v>68</v>
      </c>
      <c r="C110" s="14" t="s">
        <v>377</v>
      </c>
      <c r="D110" s="14"/>
      <c r="E110" s="14" t="s">
        <v>195</v>
      </c>
      <c r="F110" s="14">
        <v>61</v>
      </c>
      <c r="G110" s="14">
        <f t="shared" si="9"/>
        <v>78324</v>
      </c>
      <c r="H110" s="16"/>
      <c r="I110" s="13"/>
      <c r="J110" s="16">
        <f t="shared" si="7"/>
        <v>78324</v>
      </c>
      <c r="K110" s="16">
        <f t="shared" si="8"/>
        <v>78324</v>
      </c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spans="1:23" ht="13.5" thickBot="1">
      <c r="A111" s="4"/>
      <c r="B111" s="11" t="s">
        <v>151</v>
      </c>
      <c r="C111" s="4"/>
      <c r="D111" s="4"/>
      <c r="E111" s="4"/>
      <c r="F111" s="12">
        <f>SUM(F61:F110)</f>
        <v>747</v>
      </c>
      <c r="G111" s="12">
        <f>SUM(G61:G110)</f>
        <v>1224852</v>
      </c>
      <c r="H111" s="12"/>
      <c r="I111" s="13">
        <f t="shared" si="3"/>
        <v>0</v>
      </c>
      <c r="J111" s="73">
        <f t="shared" si="7"/>
        <v>1224852</v>
      </c>
      <c r="K111" s="12">
        <f>SUM(K61:K110)</f>
        <v>1224852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5.75">
      <c r="A112" s="5" t="s">
        <v>111</v>
      </c>
      <c r="B112" s="5" t="s">
        <v>112</v>
      </c>
      <c r="C112" s="5"/>
      <c r="D112" s="5"/>
      <c r="E112" s="5"/>
      <c r="F112" s="5"/>
      <c r="G112" s="5"/>
      <c r="H112" s="5"/>
      <c r="I112" s="5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25.5">
      <c r="A113" s="1"/>
      <c r="B113" s="1" t="s">
        <v>21</v>
      </c>
      <c r="C113" s="1"/>
      <c r="D113" s="6" t="s">
        <v>197</v>
      </c>
      <c r="E113" s="1" t="s">
        <v>195</v>
      </c>
      <c r="F113" s="1">
        <v>27</v>
      </c>
      <c r="G113" s="21">
        <f aca="true" t="shared" si="10" ref="G113:G121">F113*741</f>
        <v>20007</v>
      </c>
      <c r="H113" s="21"/>
      <c r="I113" s="21"/>
      <c r="J113" s="21">
        <f>F113*741</f>
        <v>20007</v>
      </c>
      <c r="K113" s="10">
        <f>J113</f>
        <v>20007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25.5">
      <c r="A114" s="1"/>
      <c r="B114" s="1" t="s">
        <v>22</v>
      </c>
      <c r="C114" s="1"/>
      <c r="D114" s="6" t="s">
        <v>196</v>
      </c>
      <c r="E114" s="1" t="s">
        <v>195</v>
      </c>
      <c r="F114" s="1">
        <v>27</v>
      </c>
      <c r="G114" s="21">
        <f t="shared" si="10"/>
        <v>20007</v>
      </c>
      <c r="H114" s="21"/>
      <c r="I114" s="21"/>
      <c r="J114" s="21">
        <f aca="true" t="shared" si="11" ref="J114:J139">F114*741</f>
        <v>20007</v>
      </c>
      <c r="K114" s="10">
        <f aca="true" t="shared" si="12" ref="K114:K139">J114</f>
        <v>20007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38.25">
      <c r="A115" s="1"/>
      <c r="B115" s="1" t="s">
        <v>23</v>
      </c>
      <c r="C115" s="1"/>
      <c r="D115" s="6" t="s">
        <v>199</v>
      </c>
      <c r="E115" s="1" t="s">
        <v>200</v>
      </c>
      <c r="F115" s="1">
        <v>45</v>
      </c>
      <c r="G115" s="21">
        <f t="shared" si="10"/>
        <v>33345</v>
      </c>
      <c r="H115" s="21"/>
      <c r="I115" s="21"/>
      <c r="J115" s="21">
        <f t="shared" si="11"/>
        <v>33345</v>
      </c>
      <c r="K115" s="10">
        <f t="shared" si="12"/>
        <v>33345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25.5">
      <c r="A116" s="1"/>
      <c r="B116" s="1" t="s">
        <v>24</v>
      </c>
      <c r="C116" s="1"/>
      <c r="D116" s="6" t="s">
        <v>198</v>
      </c>
      <c r="E116" s="1" t="s">
        <v>195</v>
      </c>
      <c r="F116" s="1">
        <v>36</v>
      </c>
      <c r="G116" s="21">
        <f t="shared" si="10"/>
        <v>26676</v>
      </c>
      <c r="H116" s="21"/>
      <c r="I116" s="21"/>
      <c r="J116" s="21">
        <f t="shared" si="11"/>
        <v>26676</v>
      </c>
      <c r="K116" s="10">
        <f t="shared" si="12"/>
        <v>26676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25.5">
      <c r="A117" s="1"/>
      <c r="B117" s="1" t="s">
        <v>25</v>
      </c>
      <c r="C117" s="1"/>
      <c r="D117" s="6" t="s">
        <v>208</v>
      </c>
      <c r="E117" s="1" t="s">
        <v>195</v>
      </c>
      <c r="F117" s="1">
        <v>12</v>
      </c>
      <c r="G117" s="21">
        <f t="shared" si="10"/>
        <v>8892</v>
      </c>
      <c r="H117" s="21"/>
      <c r="I117" s="21"/>
      <c r="J117" s="21">
        <f t="shared" si="11"/>
        <v>8892</v>
      </c>
      <c r="K117" s="10">
        <f t="shared" si="12"/>
        <v>8892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25.5">
      <c r="A118" s="1"/>
      <c r="B118" s="1" t="s">
        <v>26</v>
      </c>
      <c r="C118" s="1"/>
      <c r="D118" s="6" t="s">
        <v>208</v>
      </c>
      <c r="E118" s="1" t="s">
        <v>195</v>
      </c>
      <c r="F118" s="1">
        <v>12</v>
      </c>
      <c r="G118" s="21">
        <f t="shared" si="10"/>
        <v>8892</v>
      </c>
      <c r="H118" s="21"/>
      <c r="I118" s="21"/>
      <c r="J118" s="21">
        <f t="shared" si="11"/>
        <v>8892</v>
      </c>
      <c r="K118" s="10">
        <f t="shared" si="12"/>
        <v>8892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25.5">
      <c r="A119" s="1"/>
      <c r="B119" s="1" t="s">
        <v>33</v>
      </c>
      <c r="C119" s="1"/>
      <c r="D119" s="6" t="s">
        <v>208</v>
      </c>
      <c r="E119" s="1" t="s">
        <v>195</v>
      </c>
      <c r="F119" s="1">
        <v>12</v>
      </c>
      <c r="G119" s="21">
        <f t="shared" si="10"/>
        <v>8892</v>
      </c>
      <c r="H119" s="21"/>
      <c r="I119" s="21"/>
      <c r="J119" s="21">
        <f>F119*741</f>
        <v>8892</v>
      </c>
      <c r="K119" s="10">
        <f t="shared" si="12"/>
        <v>8892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25.5">
      <c r="A120" s="1"/>
      <c r="B120" s="1" t="s">
        <v>27</v>
      </c>
      <c r="C120" s="1"/>
      <c r="D120" s="6" t="s">
        <v>202</v>
      </c>
      <c r="E120" s="1" t="s">
        <v>195</v>
      </c>
      <c r="F120" s="1">
        <v>45</v>
      </c>
      <c r="G120" s="21">
        <f t="shared" si="10"/>
        <v>33345</v>
      </c>
      <c r="H120" s="21"/>
      <c r="I120" s="21"/>
      <c r="J120" s="21">
        <f t="shared" si="11"/>
        <v>33345</v>
      </c>
      <c r="K120" s="10">
        <f t="shared" si="12"/>
        <v>33345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25.5">
      <c r="A121" s="1"/>
      <c r="B121" s="1" t="s">
        <v>29</v>
      </c>
      <c r="C121" s="1"/>
      <c r="D121" s="6" t="s">
        <v>201</v>
      </c>
      <c r="E121" s="1" t="s">
        <v>195</v>
      </c>
      <c r="F121" s="1">
        <v>45</v>
      </c>
      <c r="G121" s="21">
        <f t="shared" si="10"/>
        <v>33345</v>
      </c>
      <c r="H121" s="21"/>
      <c r="I121" s="21"/>
      <c r="J121" s="21">
        <f t="shared" si="11"/>
        <v>33345</v>
      </c>
      <c r="K121" s="10">
        <f t="shared" si="12"/>
        <v>33345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25.5">
      <c r="A122" s="1"/>
      <c r="B122" s="1" t="s">
        <v>39</v>
      </c>
      <c r="C122" s="1"/>
      <c r="D122" s="6" t="s">
        <v>203</v>
      </c>
      <c r="E122" s="1" t="s">
        <v>195</v>
      </c>
      <c r="F122" s="1">
        <v>27</v>
      </c>
      <c r="G122" s="21">
        <f>F122*741</f>
        <v>20007</v>
      </c>
      <c r="H122" s="21"/>
      <c r="I122" s="21"/>
      <c r="J122" s="21">
        <f t="shared" si="11"/>
        <v>20007</v>
      </c>
      <c r="K122" s="10">
        <f t="shared" si="12"/>
        <v>20007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>
      <c r="A123" s="1"/>
      <c r="B123" s="1" t="s">
        <v>42</v>
      </c>
      <c r="C123" s="1"/>
      <c r="D123" s="1" t="s">
        <v>204</v>
      </c>
      <c r="E123" s="1" t="s">
        <v>195</v>
      </c>
      <c r="F123" s="1">
        <v>27</v>
      </c>
      <c r="G123" s="21">
        <f>F123*741</f>
        <v>20007</v>
      </c>
      <c r="H123" s="21"/>
      <c r="I123" s="21"/>
      <c r="J123" s="21">
        <f t="shared" si="11"/>
        <v>20007</v>
      </c>
      <c r="K123" s="10">
        <f t="shared" si="12"/>
        <v>20007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>
      <c r="A124" s="1"/>
      <c r="B124" s="1" t="s">
        <v>43</v>
      </c>
      <c r="C124" s="1"/>
      <c r="D124" s="1"/>
      <c r="E124" s="1"/>
      <c r="F124" s="1"/>
      <c r="G124" s="21"/>
      <c r="H124" s="21"/>
      <c r="I124" s="21"/>
      <c r="J124" s="21">
        <f t="shared" si="11"/>
        <v>0</v>
      </c>
      <c r="K124" s="10">
        <f t="shared" si="12"/>
        <v>0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>
      <c r="A125" s="1"/>
      <c r="B125" s="1" t="s">
        <v>44</v>
      </c>
      <c r="C125" s="1"/>
      <c r="D125" s="1" t="s">
        <v>161</v>
      </c>
      <c r="E125" s="1" t="s">
        <v>195</v>
      </c>
      <c r="F125" s="1">
        <v>9</v>
      </c>
      <c r="G125" s="21">
        <f aca="true" t="shared" si="13" ref="G125:G139">F125*741</f>
        <v>6669</v>
      </c>
      <c r="H125" s="21"/>
      <c r="I125" s="21"/>
      <c r="J125" s="21">
        <f t="shared" si="11"/>
        <v>6669</v>
      </c>
      <c r="K125" s="10">
        <f t="shared" si="12"/>
        <v>6669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38.25">
      <c r="A126" s="1"/>
      <c r="B126" s="1" t="s">
        <v>45</v>
      </c>
      <c r="C126" s="1"/>
      <c r="D126" s="6" t="s">
        <v>228</v>
      </c>
      <c r="E126" s="1" t="s">
        <v>195</v>
      </c>
      <c r="F126" s="1">
        <v>54</v>
      </c>
      <c r="G126" s="21">
        <f t="shared" si="13"/>
        <v>40014</v>
      </c>
      <c r="H126" s="21"/>
      <c r="I126" s="21"/>
      <c r="J126" s="21">
        <f t="shared" si="11"/>
        <v>40014</v>
      </c>
      <c r="K126" s="10">
        <f t="shared" si="12"/>
        <v>40014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25.5">
      <c r="A127" s="1"/>
      <c r="B127" s="1" t="s">
        <v>47</v>
      </c>
      <c r="C127" s="1"/>
      <c r="D127" s="6" t="s">
        <v>205</v>
      </c>
      <c r="E127" s="1" t="s">
        <v>195</v>
      </c>
      <c r="F127" s="1">
        <v>27</v>
      </c>
      <c r="G127" s="21">
        <f t="shared" si="13"/>
        <v>20007</v>
      </c>
      <c r="H127" s="21"/>
      <c r="I127" s="21"/>
      <c r="J127" s="21">
        <f t="shared" si="11"/>
        <v>20007</v>
      </c>
      <c r="K127" s="10">
        <f t="shared" si="12"/>
        <v>20007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25.5">
      <c r="A128" s="1"/>
      <c r="B128" s="1" t="s">
        <v>48</v>
      </c>
      <c r="C128" s="1"/>
      <c r="D128" s="6" t="s">
        <v>206</v>
      </c>
      <c r="E128" s="1" t="s">
        <v>195</v>
      </c>
      <c r="F128" s="1">
        <v>27</v>
      </c>
      <c r="G128" s="21">
        <f t="shared" si="13"/>
        <v>20007</v>
      </c>
      <c r="H128" s="21"/>
      <c r="I128" s="21"/>
      <c r="J128" s="21">
        <f t="shared" si="11"/>
        <v>20007</v>
      </c>
      <c r="K128" s="10">
        <f t="shared" si="12"/>
        <v>20007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25.5">
      <c r="A129" s="1"/>
      <c r="B129" s="1" t="s">
        <v>49</v>
      </c>
      <c r="C129" s="1"/>
      <c r="D129" s="6" t="s">
        <v>207</v>
      </c>
      <c r="E129" s="1" t="s">
        <v>195</v>
      </c>
      <c r="F129" s="1">
        <v>27</v>
      </c>
      <c r="G129" s="21">
        <f t="shared" si="13"/>
        <v>20007</v>
      </c>
      <c r="H129" s="21"/>
      <c r="I129" s="21"/>
      <c r="J129" s="21">
        <f t="shared" si="11"/>
        <v>20007</v>
      </c>
      <c r="K129" s="10">
        <f t="shared" si="12"/>
        <v>20007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25.5">
      <c r="A130" s="1"/>
      <c r="B130" s="1" t="s">
        <v>56</v>
      </c>
      <c r="C130" s="1"/>
      <c r="D130" s="6" t="s">
        <v>196</v>
      </c>
      <c r="E130" s="1" t="s">
        <v>195</v>
      </c>
      <c r="F130" s="1">
        <v>27</v>
      </c>
      <c r="G130" s="21">
        <f t="shared" si="13"/>
        <v>20007</v>
      </c>
      <c r="H130" s="21"/>
      <c r="I130" s="21"/>
      <c r="J130" s="21">
        <f t="shared" si="11"/>
        <v>20007</v>
      </c>
      <c r="K130" s="10">
        <f t="shared" si="12"/>
        <v>20007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25.5">
      <c r="A131" s="1"/>
      <c r="B131" s="1" t="s">
        <v>57</v>
      </c>
      <c r="C131" s="1"/>
      <c r="D131" s="6" t="s">
        <v>226</v>
      </c>
      <c r="E131" s="1" t="s">
        <v>195</v>
      </c>
      <c r="F131" s="1">
        <v>18</v>
      </c>
      <c r="G131" s="21">
        <f t="shared" si="13"/>
        <v>13338</v>
      </c>
      <c r="H131" s="21"/>
      <c r="I131" s="21"/>
      <c r="J131" s="21">
        <f t="shared" si="11"/>
        <v>13338</v>
      </c>
      <c r="K131" s="10">
        <f t="shared" si="12"/>
        <v>13338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25.5">
      <c r="A132" s="1"/>
      <c r="B132" s="1" t="s">
        <v>58</v>
      </c>
      <c r="C132" s="1"/>
      <c r="D132" s="6" t="s">
        <v>227</v>
      </c>
      <c r="E132" s="1" t="s">
        <v>195</v>
      </c>
      <c r="F132" s="1">
        <v>27</v>
      </c>
      <c r="G132" s="21">
        <f t="shared" si="13"/>
        <v>20007</v>
      </c>
      <c r="H132" s="21"/>
      <c r="I132" s="21"/>
      <c r="J132" s="21">
        <f t="shared" si="11"/>
        <v>20007</v>
      </c>
      <c r="K132" s="10">
        <f t="shared" si="12"/>
        <v>20007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25.5">
      <c r="A133" s="1"/>
      <c r="B133" s="1" t="s">
        <v>60</v>
      </c>
      <c r="C133" s="1"/>
      <c r="D133" s="6" t="s">
        <v>229</v>
      </c>
      <c r="E133" s="1" t="s">
        <v>195</v>
      </c>
      <c r="F133" s="1">
        <v>27</v>
      </c>
      <c r="G133" s="21">
        <f t="shared" si="13"/>
        <v>20007</v>
      </c>
      <c r="H133" s="21"/>
      <c r="I133" s="21"/>
      <c r="J133" s="21">
        <f t="shared" si="11"/>
        <v>20007</v>
      </c>
      <c r="K133" s="10">
        <f t="shared" si="12"/>
        <v>20007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25.5">
      <c r="A134" s="1"/>
      <c r="B134" s="1" t="s">
        <v>63</v>
      </c>
      <c r="C134" s="1"/>
      <c r="D134" s="6" t="s">
        <v>208</v>
      </c>
      <c r="E134" s="1" t="s">
        <v>195</v>
      </c>
      <c r="F134" s="1">
        <v>12</v>
      </c>
      <c r="G134" s="21">
        <f t="shared" si="13"/>
        <v>8892</v>
      </c>
      <c r="H134" s="21"/>
      <c r="I134" s="21"/>
      <c r="J134" s="21">
        <f t="shared" si="11"/>
        <v>8892</v>
      </c>
      <c r="K134" s="10">
        <f t="shared" si="12"/>
        <v>8892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25.5">
      <c r="A135" s="1"/>
      <c r="B135" s="1" t="s">
        <v>64</v>
      </c>
      <c r="C135" s="1"/>
      <c r="D135" s="6" t="s">
        <v>208</v>
      </c>
      <c r="E135" s="1" t="s">
        <v>195</v>
      </c>
      <c r="F135" s="1">
        <v>12</v>
      </c>
      <c r="G135" s="21">
        <f t="shared" si="13"/>
        <v>8892</v>
      </c>
      <c r="H135" s="21"/>
      <c r="I135" s="21"/>
      <c r="J135" s="21">
        <f t="shared" si="11"/>
        <v>8892</v>
      </c>
      <c r="K135" s="10">
        <f t="shared" si="12"/>
        <v>8892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25.5">
      <c r="A136" s="1"/>
      <c r="B136" s="1" t="s">
        <v>65</v>
      </c>
      <c r="C136" s="1"/>
      <c r="D136" s="6" t="s">
        <v>208</v>
      </c>
      <c r="E136" s="1" t="s">
        <v>195</v>
      </c>
      <c r="F136" s="1">
        <v>12</v>
      </c>
      <c r="G136" s="21">
        <f t="shared" si="13"/>
        <v>8892</v>
      </c>
      <c r="H136" s="21"/>
      <c r="I136" s="21"/>
      <c r="J136" s="21">
        <f t="shared" si="11"/>
        <v>8892</v>
      </c>
      <c r="K136" s="10">
        <f t="shared" si="12"/>
        <v>8892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25.5">
      <c r="A137" s="1"/>
      <c r="B137" s="1" t="s">
        <v>66</v>
      </c>
      <c r="C137" s="1"/>
      <c r="D137" s="6" t="s">
        <v>208</v>
      </c>
      <c r="E137" s="1" t="s">
        <v>195</v>
      </c>
      <c r="F137" s="1">
        <v>12</v>
      </c>
      <c r="G137" s="21">
        <f t="shared" si="13"/>
        <v>8892</v>
      </c>
      <c r="H137" s="21"/>
      <c r="I137" s="21"/>
      <c r="J137" s="21">
        <f t="shared" si="11"/>
        <v>8892</v>
      </c>
      <c r="K137" s="10">
        <f t="shared" si="12"/>
        <v>8892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25.5">
      <c r="A138" s="1"/>
      <c r="B138" s="1" t="s">
        <v>68</v>
      </c>
      <c r="C138" s="1"/>
      <c r="D138" s="6" t="s">
        <v>208</v>
      </c>
      <c r="E138" s="1" t="s">
        <v>195</v>
      </c>
      <c r="F138" s="1">
        <v>12</v>
      </c>
      <c r="G138" s="21">
        <f t="shared" si="13"/>
        <v>8892</v>
      </c>
      <c r="H138" s="21"/>
      <c r="I138" s="21"/>
      <c r="J138" s="21">
        <f>F138*741</f>
        <v>8892</v>
      </c>
      <c r="K138" s="10">
        <f t="shared" si="12"/>
        <v>8892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25.5">
      <c r="A139" s="1"/>
      <c r="B139" s="1" t="s">
        <v>67</v>
      </c>
      <c r="C139" s="1"/>
      <c r="D139" s="6" t="s">
        <v>208</v>
      </c>
      <c r="E139" s="1" t="s">
        <v>195</v>
      </c>
      <c r="F139" s="1">
        <v>12</v>
      </c>
      <c r="G139" s="21">
        <f t="shared" si="13"/>
        <v>8892</v>
      </c>
      <c r="H139" s="21"/>
      <c r="I139" s="21"/>
      <c r="J139" s="21">
        <f t="shared" si="11"/>
        <v>8892</v>
      </c>
      <c r="K139" s="10">
        <f t="shared" si="12"/>
        <v>8892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3.5" thickBot="1">
      <c r="A140" s="4"/>
      <c r="B140" s="11" t="s">
        <v>151</v>
      </c>
      <c r="C140" s="4"/>
      <c r="D140" s="4"/>
      <c r="E140" s="4"/>
      <c r="F140" s="12">
        <f>SUM(F113:F139)</f>
        <v>630</v>
      </c>
      <c r="G140" s="12">
        <f>SUM(G113:G139)</f>
        <v>466830</v>
      </c>
      <c r="H140" s="12"/>
      <c r="I140" s="12"/>
      <c r="J140" s="12">
        <f>SUM(J113:J139)</f>
        <v>466830</v>
      </c>
      <c r="K140" s="12">
        <f>SUM(K113:K139)</f>
        <v>466830</v>
      </c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5.75">
      <c r="A141" s="5" t="s">
        <v>114</v>
      </c>
      <c r="B141" s="5" t="s">
        <v>113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25.5">
      <c r="A142" s="1"/>
      <c r="B142" s="1" t="s">
        <v>21</v>
      </c>
      <c r="C142" s="1"/>
      <c r="D142" s="6" t="s">
        <v>211</v>
      </c>
      <c r="E142" s="1" t="s">
        <v>139</v>
      </c>
      <c r="F142" s="1">
        <v>6</v>
      </c>
      <c r="G142" s="10">
        <f>F142*8365</f>
        <v>50190</v>
      </c>
      <c r="H142" s="10"/>
      <c r="I142" s="10"/>
      <c r="J142" s="10">
        <f>F142*8365</f>
        <v>50190</v>
      </c>
      <c r="K142" s="1">
        <f>G142/6*3</f>
        <v>25095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.75">
      <c r="A143" s="1"/>
      <c r="B143" s="1" t="s">
        <v>22</v>
      </c>
      <c r="C143" s="1"/>
      <c r="D143" s="1"/>
      <c r="E143" s="1"/>
      <c r="F143" s="1"/>
      <c r="G143" s="10"/>
      <c r="H143" s="10"/>
      <c r="I143" s="10"/>
      <c r="J143" s="10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>
      <c r="A144" s="1"/>
      <c r="B144" s="1" t="s">
        <v>23</v>
      </c>
      <c r="C144" s="1"/>
      <c r="D144" s="6" t="s">
        <v>213</v>
      </c>
      <c r="E144" s="1" t="s">
        <v>139</v>
      </c>
      <c r="F144" s="1">
        <v>2</v>
      </c>
      <c r="G144" s="10">
        <f>F144*8365</f>
        <v>16730</v>
      </c>
      <c r="H144" s="10"/>
      <c r="I144" s="10"/>
      <c r="J144" s="10">
        <f aca="true" t="shared" si="14" ref="J144:J189">F144*8365</f>
        <v>16730</v>
      </c>
      <c r="K144" s="1">
        <v>16730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.75">
      <c r="A145" s="1"/>
      <c r="B145" s="1" t="s">
        <v>24</v>
      </c>
      <c r="C145" s="1"/>
      <c r="D145" s="1"/>
      <c r="E145" s="1"/>
      <c r="F145" s="1"/>
      <c r="G145" s="10"/>
      <c r="H145" s="10"/>
      <c r="I145" s="10"/>
      <c r="J145" s="10">
        <f t="shared" si="14"/>
        <v>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>
      <c r="A146" s="1"/>
      <c r="B146" s="1" t="s">
        <v>25</v>
      </c>
      <c r="C146" s="1"/>
      <c r="D146" s="6" t="s">
        <v>225</v>
      </c>
      <c r="E146" s="1" t="s">
        <v>139</v>
      </c>
      <c r="F146" s="1">
        <v>1</v>
      </c>
      <c r="G146" s="10">
        <f>F146*8365</f>
        <v>8365</v>
      </c>
      <c r="H146" s="10"/>
      <c r="I146" s="10"/>
      <c r="J146" s="10">
        <f t="shared" si="14"/>
        <v>8365</v>
      </c>
      <c r="K146" s="1">
        <v>8365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>
      <c r="A147" s="1"/>
      <c r="B147" s="1" t="s">
        <v>26</v>
      </c>
      <c r="C147" s="1"/>
      <c r="D147" s="6" t="s">
        <v>225</v>
      </c>
      <c r="E147" s="1" t="s">
        <v>139</v>
      </c>
      <c r="F147" s="1">
        <v>1</v>
      </c>
      <c r="G147" s="10">
        <f>F147*8365</f>
        <v>8365</v>
      </c>
      <c r="H147" s="10"/>
      <c r="I147" s="10"/>
      <c r="J147" s="10">
        <f t="shared" si="14"/>
        <v>8365</v>
      </c>
      <c r="K147" s="1">
        <v>8365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25.5">
      <c r="A148" s="1"/>
      <c r="B148" s="1" t="s">
        <v>27</v>
      </c>
      <c r="C148" s="1"/>
      <c r="D148" s="6" t="s">
        <v>215</v>
      </c>
      <c r="E148" s="1" t="s">
        <v>139</v>
      </c>
      <c r="F148" s="1">
        <v>5</v>
      </c>
      <c r="G148" s="10">
        <f>F148*8365</f>
        <v>41825</v>
      </c>
      <c r="H148" s="10"/>
      <c r="I148" s="10"/>
      <c r="J148" s="10">
        <f t="shared" si="14"/>
        <v>41825</v>
      </c>
      <c r="K148" s="1">
        <v>41825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>
      <c r="A149" s="1"/>
      <c r="B149" s="1" t="s">
        <v>28</v>
      </c>
      <c r="C149" s="1"/>
      <c r="D149" s="1"/>
      <c r="E149" s="1" t="s">
        <v>139</v>
      </c>
      <c r="F149" s="1">
        <v>6</v>
      </c>
      <c r="G149" s="10">
        <f>F149*8365</f>
        <v>50190</v>
      </c>
      <c r="H149" s="10"/>
      <c r="I149" s="10"/>
      <c r="J149" s="10">
        <f t="shared" si="14"/>
        <v>50190</v>
      </c>
      <c r="K149" s="1">
        <v>50190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>
      <c r="A150" s="1"/>
      <c r="B150" s="1" t="s">
        <v>29</v>
      </c>
      <c r="C150" s="1"/>
      <c r="D150" s="6" t="s">
        <v>219</v>
      </c>
      <c r="E150" s="1" t="s">
        <v>139</v>
      </c>
      <c r="F150" s="1">
        <v>3</v>
      </c>
      <c r="G150" s="10">
        <f>F150*8365</f>
        <v>25095</v>
      </c>
      <c r="H150" s="10"/>
      <c r="I150" s="10"/>
      <c r="J150" s="10">
        <f t="shared" si="14"/>
        <v>25095</v>
      </c>
      <c r="K150" s="1">
        <v>25095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>
      <c r="A151" s="1"/>
      <c r="B151" s="1" t="s">
        <v>30</v>
      </c>
      <c r="C151" s="1"/>
      <c r="D151" s="1"/>
      <c r="E151" s="1"/>
      <c r="F151" s="1"/>
      <c r="G151" s="10"/>
      <c r="H151" s="10"/>
      <c r="I151" s="10"/>
      <c r="J151" s="10">
        <f t="shared" si="14"/>
        <v>0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>
      <c r="A152" s="1"/>
      <c r="B152" s="1" t="s">
        <v>31</v>
      </c>
      <c r="C152" s="1"/>
      <c r="D152" s="6" t="s">
        <v>218</v>
      </c>
      <c r="E152" s="1" t="s">
        <v>139</v>
      </c>
      <c r="F152" s="1">
        <v>6</v>
      </c>
      <c r="G152" s="10">
        <f>F152*8365</f>
        <v>50190</v>
      </c>
      <c r="H152" s="10"/>
      <c r="I152" s="10"/>
      <c r="J152" s="10">
        <f t="shared" si="14"/>
        <v>50190</v>
      </c>
      <c r="K152" s="1">
        <f>J152/6*3</f>
        <v>25095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>
      <c r="A153" s="1"/>
      <c r="B153" s="1" t="s">
        <v>32</v>
      </c>
      <c r="C153" s="1"/>
      <c r="D153" s="1"/>
      <c r="E153" s="1"/>
      <c r="F153" s="1"/>
      <c r="G153" s="10"/>
      <c r="H153" s="10"/>
      <c r="I153" s="10"/>
      <c r="J153" s="10">
        <f t="shared" si="14"/>
        <v>0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>
      <c r="A154" s="1"/>
      <c r="B154" s="1" t="s">
        <v>33</v>
      </c>
      <c r="C154" s="1"/>
      <c r="D154" s="6" t="s">
        <v>225</v>
      </c>
      <c r="E154" s="1" t="s">
        <v>139</v>
      </c>
      <c r="F154" s="1">
        <v>1</v>
      </c>
      <c r="G154" s="10">
        <f>F154*8365</f>
        <v>8365</v>
      </c>
      <c r="H154" s="10"/>
      <c r="I154" s="10"/>
      <c r="J154" s="10">
        <f t="shared" si="14"/>
        <v>8365</v>
      </c>
      <c r="K154" s="1">
        <v>8365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.75">
      <c r="A155" s="1"/>
      <c r="B155" s="1" t="s">
        <v>34</v>
      </c>
      <c r="C155" s="1"/>
      <c r="D155" s="1"/>
      <c r="E155" s="1"/>
      <c r="F155" s="1"/>
      <c r="G155" s="10"/>
      <c r="H155" s="10"/>
      <c r="I155" s="10"/>
      <c r="J155" s="10">
        <f t="shared" si="14"/>
        <v>0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>
      <c r="A156" s="1"/>
      <c r="B156" s="1" t="s">
        <v>35</v>
      </c>
      <c r="C156" s="1"/>
      <c r="D156" s="1"/>
      <c r="E156" s="1"/>
      <c r="F156" s="1"/>
      <c r="G156" s="10"/>
      <c r="H156" s="10"/>
      <c r="I156" s="10"/>
      <c r="J156" s="10">
        <f t="shared" si="14"/>
        <v>0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.75">
      <c r="A157" s="1"/>
      <c r="B157" s="1" t="s">
        <v>36</v>
      </c>
      <c r="C157" s="1"/>
      <c r="D157" s="1"/>
      <c r="E157" s="1"/>
      <c r="F157" s="1"/>
      <c r="G157" s="10"/>
      <c r="H157" s="10"/>
      <c r="I157" s="10"/>
      <c r="J157" s="10">
        <f t="shared" si="14"/>
        <v>0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.75">
      <c r="A158" s="1"/>
      <c r="B158" s="1" t="s">
        <v>37</v>
      </c>
      <c r="C158" s="1"/>
      <c r="D158" s="1"/>
      <c r="E158" s="1"/>
      <c r="F158" s="1"/>
      <c r="G158" s="10"/>
      <c r="H158" s="10"/>
      <c r="I158" s="10"/>
      <c r="J158" s="10">
        <f t="shared" si="14"/>
        <v>0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.75">
      <c r="A159" s="1"/>
      <c r="B159" s="1" t="s">
        <v>38</v>
      </c>
      <c r="C159" s="1"/>
      <c r="D159" s="1"/>
      <c r="E159" s="1"/>
      <c r="F159" s="1"/>
      <c r="G159" s="10"/>
      <c r="H159" s="10"/>
      <c r="I159" s="10"/>
      <c r="J159" s="10">
        <f t="shared" si="14"/>
        <v>0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.75">
      <c r="A160" s="1"/>
      <c r="B160" s="1" t="s">
        <v>39</v>
      </c>
      <c r="C160" s="1"/>
      <c r="D160" s="1"/>
      <c r="E160" s="1" t="s">
        <v>353</v>
      </c>
      <c r="F160" s="1">
        <v>2</v>
      </c>
      <c r="G160" s="10">
        <f>F160*8365</f>
        <v>16730</v>
      </c>
      <c r="H160" s="10"/>
      <c r="I160" s="10"/>
      <c r="J160" s="10">
        <f t="shared" si="14"/>
        <v>16730</v>
      </c>
      <c r="K160" s="1">
        <v>16730</v>
      </c>
      <c r="L160" s="1"/>
      <c r="M160" s="1"/>
      <c r="N160" s="1"/>
      <c r="O160" s="1" t="s">
        <v>216</v>
      </c>
      <c r="P160" s="1"/>
      <c r="Q160" s="1"/>
      <c r="R160" s="1"/>
      <c r="S160" s="1"/>
      <c r="T160" s="1"/>
      <c r="U160" s="1"/>
      <c r="V160" s="1"/>
      <c r="W160" s="1"/>
    </row>
    <row r="161" spans="1:23" ht="12.75">
      <c r="A161" s="1"/>
      <c r="B161" s="1" t="s">
        <v>40</v>
      </c>
      <c r="C161" s="1"/>
      <c r="D161" s="1"/>
      <c r="E161" s="1"/>
      <c r="F161" s="1"/>
      <c r="G161" s="10"/>
      <c r="H161" s="10"/>
      <c r="I161" s="10"/>
      <c r="J161" s="10">
        <f t="shared" si="14"/>
        <v>0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.75">
      <c r="A162" s="1"/>
      <c r="B162" s="1" t="s">
        <v>41</v>
      </c>
      <c r="C162" s="1"/>
      <c r="D162" s="6" t="s">
        <v>220</v>
      </c>
      <c r="E162" s="1" t="s">
        <v>139</v>
      </c>
      <c r="F162" s="1">
        <v>3</v>
      </c>
      <c r="G162" s="10">
        <f>F162*8365</f>
        <v>25095</v>
      </c>
      <c r="H162" s="10"/>
      <c r="I162" s="10"/>
      <c r="J162" s="10">
        <f t="shared" si="14"/>
        <v>25095</v>
      </c>
      <c r="K162" s="1">
        <v>25095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.75">
      <c r="A163" s="1"/>
      <c r="B163" s="1" t="s">
        <v>42</v>
      </c>
      <c r="C163" s="1"/>
      <c r="D163" s="6" t="s">
        <v>212</v>
      </c>
      <c r="E163" s="1" t="s">
        <v>139</v>
      </c>
      <c r="F163" s="1">
        <v>3</v>
      </c>
      <c r="G163" s="10">
        <f>F163*8365</f>
        <v>25095</v>
      </c>
      <c r="H163" s="10"/>
      <c r="I163" s="10"/>
      <c r="J163" s="10">
        <f t="shared" si="14"/>
        <v>25095</v>
      </c>
      <c r="K163" s="1">
        <v>25095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.75">
      <c r="A164" s="1"/>
      <c r="B164" s="1" t="s">
        <v>43</v>
      </c>
      <c r="C164" s="1"/>
      <c r="D164" s="1"/>
      <c r="E164" s="1"/>
      <c r="F164" s="1"/>
      <c r="G164" s="10"/>
      <c r="H164" s="10"/>
      <c r="I164" s="10"/>
      <c r="J164" s="10">
        <f t="shared" si="14"/>
        <v>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.75">
      <c r="A165" s="1"/>
      <c r="B165" s="1" t="s">
        <v>44</v>
      </c>
      <c r="C165" s="1"/>
      <c r="D165" s="1"/>
      <c r="E165" s="1"/>
      <c r="F165" s="1"/>
      <c r="G165" s="10"/>
      <c r="H165" s="10"/>
      <c r="I165" s="10"/>
      <c r="J165" s="10">
        <f t="shared" si="14"/>
        <v>0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.75">
      <c r="A166" s="1"/>
      <c r="B166" s="1" t="s">
        <v>45</v>
      </c>
      <c r="C166" s="1"/>
      <c r="D166" s="6" t="s">
        <v>221</v>
      </c>
      <c r="E166" s="1" t="s">
        <v>139</v>
      </c>
      <c r="F166" s="1">
        <v>2</v>
      </c>
      <c r="G166" s="10">
        <f>F166*8365</f>
        <v>16730</v>
      </c>
      <c r="H166" s="10"/>
      <c r="I166" s="10"/>
      <c r="J166" s="10">
        <f t="shared" si="14"/>
        <v>16730</v>
      </c>
      <c r="K166" s="1">
        <v>16730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" customHeight="1">
      <c r="A167" s="1"/>
      <c r="B167" s="1" t="s">
        <v>46</v>
      </c>
      <c r="C167" s="1"/>
      <c r="D167" s="6" t="s">
        <v>222</v>
      </c>
      <c r="E167" s="1" t="s">
        <v>139</v>
      </c>
      <c r="F167" s="1">
        <v>4</v>
      </c>
      <c r="G167" s="10">
        <f>F167*8365</f>
        <v>33460</v>
      </c>
      <c r="H167" s="10"/>
      <c r="I167" s="10"/>
      <c r="J167" s="10">
        <f t="shared" si="14"/>
        <v>33460</v>
      </c>
      <c r="K167" s="1">
        <v>33460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.75">
      <c r="A168" s="1"/>
      <c r="B168" s="1" t="s">
        <v>47</v>
      </c>
      <c r="C168" s="1"/>
      <c r="D168" s="1"/>
      <c r="E168" s="1"/>
      <c r="F168" s="1"/>
      <c r="G168" s="10"/>
      <c r="H168" s="10"/>
      <c r="I168" s="10"/>
      <c r="J168" s="10">
        <f t="shared" si="14"/>
        <v>0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.75">
      <c r="A169" s="1"/>
      <c r="B169" s="1" t="s">
        <v>48</v>
      </c>
      <c r="C169" s="1"/>
      <c r="D169" s="6" t="s">
        <v>223</v>
      </c>
      <c r="E169" s="1" t="s">
        <v>139</v>
      </c>
      <c r="F169" s="1">
        <v>6</v>
      </c>
      <c r="G169" s="10">
        <f>F169*8365</f>
        <v>50190</v>
      </c>
      <c r="H169" s="10"/>
      <c r="I169" s="10"/>
      <c r="J169" s="10">
        <f t="shared" si="14"/>
        <v>50190</v>
      </c>
      <c r="K169" s="1">
        <f>50190/6*3</f>
        <v>25095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.75">
      <c r="A170" s="1"/>
      <c r="B170" s="1" t="s">
        <v>49</v>
      </c>
      <c r="C170" s="1"/>
      <c r="D170" s="6" t="s">
        <v>224</v>
      </c>
      <c r="E170" s="1" t="s">
        <v>139</v>
      </c>
      <c r="F170" s="1">
        <v>4</v>
      </c>
      <c r="G170" s="10">
        <f>F170*8365</f>
        <v>33460</v>
      </c>
      <c r="H170" s="10"/>
      <c r="I170" s="10"/>
      <c r="J170" s="10">
        <f t="shared" si="14"/>
        <v>33460</v>
      </c>
      <c r="K170" s="1">
        <v>33460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.75">
      <c r="A171" s="1"/>
      <c r="B171" s="1" t="s">
        <v>50</v>
      </c>
      <c r="C171" s="1"/>
      <c r="D171" s="1"/>
      <c r="E171" s="1"/>
      <c r="F171" s="1"/>
      <c r="G171" s="10"/>
      <c r="H171" s="10"/>
      <c r="I171" s="10"/>
      <c r="J171" s="10">
        <f t="shared" si="14"/>
        <v>0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.75">
      <c r="A172" s="1"/>
      <c r="B172" s="1" t="s">
        <v>51</v>
      </c>
      <c r="C172" s="1"/>
      <c r="D172" s="1"/>
      <c r="E172" s="1"/>
      <c r="F172" s="1"/>
      <c r="G172" s="10"/>
      <c r="H172" s="10"/>
      <c r="I172" s="10"/>
      <c r="J172" s="10">
        <f t="shared" si="14"/>
        <v>0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.75">
      <c r="A173" s="1"/>
      <c r="B173" s="1" t="s">
        <v>52</v>
      </c>
      <c r="C173" s="1"/>
      <c r="D173" s="1"/>
      <c r="E173" s="1"/>
      <c r="F173" s="1"/>
      <c r="G173" s="10"/>
      <c r="H173" s="10"/>
      <c r="I173" s="10"/>
      <c r="J173" s="10">
        <f t="shared" si="14"/>
        <v>0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.75">
      <c r="A174" s="1"/>
      <c r="B174" s="1" t="s">
        <v>53</v>
      </c>
      <c r="C174" s="1"/>
      <c r="D174" s="1"/>
      <c r="E174" s="1"/>
      <c r="F174" s="1"/>
      <c r="G174" s="10"/>
      <c r="H174" s="10"/>
      <c r="I174" s="10"/>
      <c r="J174" s="10">
        <f t="shared" si="14"/>
        <v>0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.75">
      <c r="A175" s="1"/>
      <c r="B175" s="1" t="s">
        <v>54</v>
      </c>
      <c r="C175" s="1"/>
      <c r="D175" s="1"/>
      <c r="E175" s="1"/>
      <c r="F175" s="1"/>
      <c r="G175" s="10"/>
      <c r="H175" s="10"/>
      <c r="I175" s="10"/>
      <c r="J175" s="10">
        <f t="shared" si="14"/>
        <v>0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.75">
      <c r="A176" s="1"/>
      <c r="B176" s="1" t="s">
        <v>55</v>
      </c>
      <c r="C176" s="1"/>
      <c r="D176" s="1"/>
      <c r="E176" s="1"/>
      <c r="F176" s="1"/>
      <c r="G176" s="10"/>
      <c r="H176" s="10"/>
      <c r="I176" s="10"/>
      <c r="J176" s="10">
        <f t="shared" si="14"/>
        <v>0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.75">
      <c r="A177" s="1"/>
      <c r="B177" s="1" t="s">
        <v>56</v>
      </c>
      <c r="C177" s="1"/>
      <c r="D177" s="1" t="s">
        <v>217</v>
      </c>
      <c r="E177" s="1" t="s">
        <v>139</v>
      </c>
      <c r="F177" s="1">
        <v>3</v>
      </c>
      <c r="G177" s="10">
        <f>F177*8365</f>
        <v>25095</v>
      </c>
      <c r="H177" s="10"/>
      <c r="I177" s="10"/>
      <c r="J177" s="10">
        <f t="shared" si="14"/>
        <v>25095</v>
      </c>
      <c r="K177" s="1">
        <v>25095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.75">
      <c r="A178" s="1"/>
      <c r="B178" s="1" t="s">
        <v>57</v>
      </c>
      <c r="C178" s="1"/>
      <c r="D178" s="1" t="s">
        <v>212</v>
      </c>
      <c r="E178" s="1" t="s">
        <v>139</v>
      </c>
      <c r="F178" s="1">
        <v>3</v>
      </c>
      <c r="G178" s="10">
        <f>F178*8365</f>
        <v>25095</v>
      </c>
      <c r="H178" s="10"/>
      <c r="I178" s="10"/>
      <c r="J178" s="10">
        <f t="shared" si="14"/>
        <v>25095</v>
      </c>
      <c r="K178" s="1">
        <v>25095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.75">
      <c r="A179" s="1"/>
      <c r="B179" s="1" t="s">
        <v>58</v>
      </c>
      <c r="C179" s="1"/>
      <c r="D179" s="1"/>
      <c r="E179" s="1"/>
      <c r="F179" s="1"/>
      <c r="G179" s="10"/>
      <c r="H179" s="10"/>
      <c r="I179" s="10"/>
      <c r="J179" s="10">
        <f t="shared" si="14"/>
        <v>0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.75">
      <c r="A180" s="1"/>
      <c r="B180" s="1" t="s">
        <v>59</v>
      </c>
      <c r="C180" s="1"/>
      <c r="D180" s="1"/>
      <c r="E180" s="1"/>
      <c r="F180" s="1"/>
      <c r="G180" s="10"/>
      <c r="H180" s="10"/>
      <c r="I180" s="10"/>
      <c r="J180" s="10">
        <f t="shared" si="14"/>
        <v>0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25.5">
      <c r="A181" s="1"/>
      <c r="B181" s="1" t="s">
        <v>60</v>
      </c>
      <c r="C181" s="1"/>
      <c r="D181" s="6" t="s">
        <v>214</v>
      </c>
      <c r="E181" s="1" t="s">
        <v>139</v>
      </c>
      <c r="F181" s="1">
        <v>6</v>
      </c>
      <c r="G181" s="10">
        <f>F181*8365</f>
        <v>50190</v>
      </c>
      <c r="H181" s="10"/>
      <c r="I181" s="10"/>
      <c r="J181" s="10">
        <f t="shared" si="14"/>
        <v>50190</v>
      </c>
      <c r="K181" s="1">
        <v>25095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.75">
      <c r="A182" s="1"/>
      <c r="B182" s="1" t="s">
        <v>61</v>
      </c>
      <c r="C182" s="1"/>
      <c r="D182" s="6" t="s">
        <v>218</v>
      </c>
      <c r="E182" s="1" t="s">
        <v>139</v>
      </c>
      <c r="F182" s="1">
        <v>6</v>
      </c>
      <c r="G182" s="10">
        <f>F182*8365</f>
        <v>50190</v>
      </c>
      <c r="H182" s="10"/>
      <c r="I182" s="10"/>
      <c r="J182" s="10">
        <f t="shared" si="14"/>
        <v>50190</v>
      </c>
      <c r="K182" s="1">
        <v>25095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.75">
      <c r="A183" s="1"/>
      <c r="B183" s="1" t="s">
        <v>62</v>
      </c>
      <c r="C183" s="1"/>
      <c r="D183" s="1"/>
      <c r="E183" s="1"/>
      <c r="F183" s="1"/>
      <c r="G183" s="10"/>
      <c r="H183" s="10"/>
      <c r="I183" s="10"/>
      <c r="J183" s="10">
        <f t="shared" si="14"/>
        <v>0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.75">
      <c r="A184" s="1"/>
      <c r="B184" s="1" t="s">
        <v>63</v>
      </c>
      <c r="C184" s="1"/>
      <c r="D184" s="6" t="s">
        <v>225</v>
      </c>
      <c r="E184" s="1" t="s">
        <v>139</v>
      </c>
      <c r="F184" s="1">
        <v>1</v>
      </c>
      <c r="G184" s="10">
        <f>F184*8365</f>
        <v>8365</v>
      </c>
      <c r="H184" s="10"/>
      <c r="I184" s="10"/>
      <c r="J184" s="10">
        <f t="shared" si="14"/>
        <v>8365</v>
      </c>
      <c r="K184" s="1">
        <v>8365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.75">
      <c r="A185" s="1"/>
      <c r="B185" s="1" t="s">
        <v>64</v>
      </c>
      <c r="C185" s="1"/>
      <c r="D185" s="6" t="s">
        <v>225</v>
      </c>
      <c r="E185" s="1" t="s">
        <v>139</v>
      </c>
      <c r="F185" s="1">
        <v>1</v>
      </c>
      <c r="G185" s="10">
        <f>F185*8365</f>
        <v>8365</v>
      </c>
      <c r="H185" s="10"/>
      <c r="I185" s="10"/>
      <c r="J185" s="10">
        <f t="shared" si="14"/>
        <v>8365</v>
      </c>
      <c r="K185" s="1">
        <v>8365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.75">
      <c r="A186" s="1"/>
      <c r="B186" s="1" t="s">
        <v>65</v>
      </c>
      <c r="C186" s="1"/>
      <c r="D186" s="1"/>
      <c r="E186" s="1"/>
      <c r="F186" s="1"/>
      <c r="G186" s="10"/>
      <c r="H186" s="10"/>
      <c r="I186" s="10"/>
      <c r="J186" s="10">
        <f t="shared" si="14"/>
        <v>0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.75">
      <c r="A187" s="1"/>
      <c r="B187" s="1" t="s">
        <v>66</v>
      </c>
      <c r="C187" s="1"/>
      <c r="D187" s="6" t="s">
        <v>225</v>
      </c>
      <c r="E187" s="1" t="s">
        <v>139</v>
      </c>
      <c r="F187" s="1">
        <v>1</v>
      </c>
      <c r="G187" s="10">
        <f>F187*8365</f>
        <v>8365</v>
      </c>
      <c r="H187" s="10"/>
      <c r="I187" s="10"/>
      <c r="J187" s="10">
        <f t="shared" si="14"/>
        <v>8365</v>
      </c>
      <c r="K187" s="1">
        <v>8365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.75">
      <c r="A188" s="1"/>
      <c r="B188" s="1" t="s">
        <v>67</v>
      </c>
      <c r="C188" s="1"/>
      <c r="D188" s="1"/>
      <c r="E188" s="1"/>
      <c r="F188" s="1"/>
      <c r="G188" s="10"/>
      <c r="H188" s="10"/>
      <c r="I188" s="10"/>
      <c r="J188" s="10">
        <f t="shared" si="14"/>
        <v>0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.75">
      <c r="A189" s="1"/>
      <c r="B189" s="1" t="s">
        <v>68</v>
      </c>
      <c r="C189" s="1"/>
      <c r="D189" s="1"/>
      <c r="E189" s="1"/>
      <c r="F189" s="1"/>
      <c r="G189" s="10"/>
      <c r="H189" s="10"/>
      <c r="I189" s="10"/>
      <c r="J189" s="10">
        <f t="shared" si="14"/>
        <v>0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3.5" thickBot="1">
      <c r="A190" s="4"/>
      <c r="B190" s="11" t="s">
        <v>151</v>
      </c>
      <c r="C190" s="4"/>
      <c r="D190" s="4"/>
      <c r="E190" s="4"/>
      <c r="F190" s="12">
        <f>SUM(F142:F187)</f>
        <v>76</v>
      </c>
      <c r="G190" s="12">
        <f>SUM(G142:G187)</f>
        <v>635740</v>
      </c>
      <c r="H190" s="12"/>
      <c r="I190" s="12"/>
      <c r="J190" s="12">
        <f>SUM(J142:J187)</f>
        <v>635740</v>
      </c>
      <c r="K190" s="12">
        <f>SUM(K142:K187)</f>
        <v>510265</v>
      </c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5.75">
      <c r="A191" s="5" t="s">
        <v>116</v>
      </c>
      <c r="B191" s="5" t="s">
        <v>115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2.75">
      <c r="A192" s="1"/>
      <c r="B192" s="1" t="s">
        <v>232</v>
      </c>
      <c r="C192" s="1"/>
      <c r="D192" s="1"/>
      <c r="E192" s="1" t="s">
        <v>231</v>
      </c>
      <c r="F192" s="1">
        <v>1</v>
      </c>
      <c r="G192" s="10">
        <v>99904</v>
      </c>
      <c r="H192" s="10"/>
      <c r="I192" s="10"/>
      <c r="J192" s="10">
        <f>G192</f>
        <v>99904</v>
      </c>
      <c r="K192" s="10">
        <v>99904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.75">
      <c r="A193" s="1"/>
      <c r="B193" s="1" t="s">
        <v>309</v>
      </c>
      <c r="C193" s="1"/>
      <c r="D193" s="1"/>
      <c r="E193" s="1" t="s">
        <v>231</v>
      </c>
      <c r="F193" s="1">
        <v>1</v>
      </c>
      <c r="G193" s="10">
        <v>27627</v>
      </c>
      <c r="H193" s="10"/>
      <c r="I193" s="10"/>
      <c r="J193" s="10">
        <v>27627</v>
      </c>
      <c r="K193" s="10">
        <v>27627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.75">
      <c r="A194" s="1"/>
      <c r="B194" s="1" t="s">
        <v>237</v>
      </c>
      <c r="C194" s="1"/>
      <c r="D194" s="1"/>
      <c r="E194" s="1" t="s">
        <v>231</v>
      </c>
      <c r="F194" s="1">
        <v>1</v>
      </c>
      <c r="G194" s="10">
        <v>23511</v>
      </c>
      <c r="H194" s="10"/>
      <c r="I194" s="10"/>
      <c r="J194" s="10">
        <f>G194</f>
        <v>23511</v>
      </c>
      <c r="K194" s="10">
        <v>23511</v>
      </c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.75">
      <c r="A195" s="14"/>
      <c r="B195" s="1" t="s">
        <v>238</v>
      </c>
      <c r="C195" s="14"/>
      <c r="D195" s="14"/>
      <c r="E195" s="1" t="s">
        <v>231</v>
      </c>
      <c r="F195" s="1">
        <v>1</v>
      </c>
      <c r="G195" s="16">
        <v>28584</v>
      </c>
      <c r="H195" s="16"/>
      <c r="I195" s="16"/>
      <c r="J195" s="14">
        <v>28584</v>
      </c>
      <c r="K195" s="14">
        <v>28584</v>
      </c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spans="1:23" ht="25.5">
      <c r="A196" s="14"/>
      <c r="B196" s="6" t="s">
        <v>243</v>
      </c>
      <c r="C196" s="14"/>
      <c r="D196" s="14"/>
      <c r="E196" s="1" t="s">
        <v>231</v>
      </c>
      <c r="F196" s="1">
        <v>1</v>
      </c>
      <c r="G196" s="16">
        <v>10200</v>
      </c>
      <c r="H196" s="16"/>
      <c r="I196" s="16"/>
      <c r="J196" s="14">
        <v>10200</v>
      </c>
      <c r="K196" s="14">
        <v>10200</v>
      </c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spans="1:23" ht="12.75">
      <c r="A197" s="14"/>
      <c r="B197" s="6" t="s">
        <v>310</v>
      </c>
      <c r="C197" s="14"/>
      <c r="D197" s="14"/>
      <c r="E197" s="1" t="s">
        <v>231</v>
      </c>
      <c r="F197" s="1">
        <v>1</v>
      </c>
      <c r="G197" s="16">
        <v>15347</v>
      </c>
      <c r="H197" s="16"/>
      <c r="I197" s="16"/>
      <c r="J197" s="14">
        <v>15347</v>
      </c>
      <c r="K197" s="14">
        <v>15347</v>
      </c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spans="1:23" ht="12.75">
      <c r="A198" s="14"/>
      <c r="B198" s="1" t="s">
        <v>239</v>
      </c>
      <c r="C198" s="14"/>
      <c r="D198" s="14"/>
      <c r="E198" s="1" t="s">
        <v>231</v>
      </c>
      <c r="F198" s="1">
        <v>1</v>
      </c>
      <c r="G198" s="16">
        <v>55364</v>
      </c>
      <c r="H198" s="16"/>
      <c r="I198" s="16"/>
      <c r="J198" s="14">
        <v>55364</v>
      </c>
      <c r="K198" s="14">
        <v>55364</v>
      </c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spans="1:23" ht="25.5">
      <c r="A199" s="14"/>
      <c r="B199" s="6" t="s">
        <v>240</v>
      </c>
      <c r="C199" s="14"/>
      <c r="D199" s="14"/>
      <c r="E199" s="1" t="s">
        <v>231</v>
      </c>
      <c r="F199" s="1">
        <v>1</v>
      </c>
      <c r="G199" s="16">
        <v>48000</v>
      </c>
      <c r="H199" s="16"/>
      <c r="I199" s="16"/>
      <c r="J199" s="14">
        <v>48000</v>
      </c>
      <c r="K199" s="14">
        <v>48000</v>
      </c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spans="1:23" ht="12.75">
      <c r="A200" s="14"/>
      <c r="B200" s="14" t="s">
        <v>242</v>
      </c>
      <c r="C200" s="14"/>
      <c r="D200" s="14"/>
      <c r="E200" s="1" t="s">
        <v>231</v>
      </c>
      <c r="F200" s="1">
        <v>1</v>
      </c>
      <c r="G200" s="16">
        <v>1300</v>
      </c>
      <c r="H200" s="16"/>
      <c r="I200" s="16"/>
      <c r="J200" s="14">
        <v>1300</v>
      </c>
      <c r="K200" s="14">
        <v>1300</v>
      </c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  <row r="201" spans="1:23" ht="13.5" thickBot="1">
      <c r="A201" s="4"/>
      <c r="B201" s="11" t="s">
        <v>151</v>
      </c>
      <c r="C201" s="4"/>
      <c r="D201" s="4"/>
      <c r="E201" s="4"/>
      <c r="F201" s="4"/>
      <c r="G201" s="12">
        <f>SUM(G192:G200)</f>
        <v>309837</v>
      </c>
      <c r="H201" s="12"/>
      <c r="I201" s="12"/>
      <c r="J201" s="12">
        <f>SUM(J192:J200)</f>
        <v>309837</v>
      </c>
      <c r="K201" s="12">
        <f>SUM(K192:K200)</f>
        <v>309837</v>
      </c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15.75">
      <c r="A202" s="5" t="s">
        <v>118</v>
      </c>
      <c r="B202" s="5" t="s">
        <v>117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2.75">
      <c r="A203" s="1"/>
      <c r="B203" s="1" t="s">
        <v>158</v>
      </c>
      <c r="C203" s="1"/>
      <c r="D203" s="1" t="s">
        <v>159</v>
      </c>
      <c r="E203" s="1" t="s">
        <v>139</v>
      </c>
      <c r="F203" s="1">
        <v>1</v>
      </c>
      <c r="G203" s="10">
        <v>45396</v>
      </c>
      <c r="H203" s="10"/>
      <c r="I203" s="10"/>
      <c r="J203" s="1">
        <v>45396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51">
      <c r="A204" s="99"/>
      <c r="B204" s="99" t="s">
        <v>178</v>
      </c>
      <c r="C204" s="99"/>
      <c r="D204" s="6" t="s">
        <v>311</v>
      </c>
      <c r="E204" s="1" t="s">
        <v>139</v>
      </c>
      <c r="F204" s="1">
        <v>4</v>
      </c>
      <c r="G204" s="10">
        <v>27079</v>
      </c>
      <c r="H204" s="10"/>
      <c r="I204" s="10"/>
      <c r="J204" s="1">
        <v>27079</v>
      </c>
      <c r="K204" s="1">
        <v>27079</v>
      </c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25.5">
      <c r="A205" s="100"/>
      <c r="B205" s="100"/>
      <c r="C205" s="100"/>
      <c r="D205" s="15" t="s">
        <v>180</v>
      </c>
      <c r="E205" s="14" t="s">
        <v>139</v>
      </c>
      <c r="F205" s="14">
        <v>1</v>
      </c>
      <c r="G205" s="14">
        <f>F205*1675</f>
        <v>1675</v>
      </c>
      <c r="H205" s="14"/>
      <c r="I205" s="14"/>
      <c r="J205" s="1">
        <v>1675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.75">
      <c r="A206" s="95"/>
      <c r="B206" s="99" t="s">
        <v>149</v>
      </c>
      <c r="C206" s="95"/>
      <c r="D206" s="1" t="s">
        <v>159</v>
      </c>
      <c r="E206" s="1" t="s">
        <v>139</v>
      </c>
      <c r="F206" s="1"/>
      <c r="G206" s="10"/>
      <c r="H206" s="10">
        <v>1</v>
      </c>
      <c r="I206" s="10">
        <v>45396</v>
      </c>
      <c r="J206" s="1">
        <v>45396</v>
      </c>
      <c r="K206" s="1">
        <v>45396</v>
      </c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51">
      <c r="A207" s="98"/>
      <c r="B207" s="101"/>
      <c r="C207" s="98"/>
      <c r="D207" s="6" t="s">
        <v>311</v>
      </c>
      <c r="E207" s="14" t="s">
        <v>139</v>
      </c>
      <c r="F207" s="14">
        <v>4</v>
      </c>
      <c r="G207" s="14">
        <v>27079</v>
      </c>
      <c r="H207" s="14"/>
      <c r="I207" s="14"/>
      <c r="J207" s="1">
        <v>27079</v>
      </c>
      <c r="K207" s="1">
        <v>27079</v>
      </c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25.5">
      <c r="A208" s="96"/>
      <c r="B208" s="100"/>
      <c r="C208" s="96"/>
      <c r="D208" s="15" t="s">
        <v>180</v>
      </c>
      <c r="E208" s="14" t="s">
        <v>139</v>
      </c>
      <c r="F208" s="14">
        <v>1</v>
      </c>
      <c r="G208" s="14">
        <f>F208*1675</f>
        <v>1675</v>
      </c>
      <c r="H208" s="10"/>
      <c r="I208" s="10"/>
      <c r="J208" s="1">
        <v>1675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38.25">
      <c r="A209" s="1"/>
      <c r="B209" s="6" t="s">
        <v>185</v>
      </c>
      <c r="C209" s="1"/>
      <c r="D209" s="6" t="s">
        <v>160</v>
      </c>
      <c r="E209" s="1" t="s">
        <v>161</v>
      </c>
      <c r="F209" s="1">
        <v>8</v>
      </c>
      <c r="G209" s="10">
        <f aca="true" t="shared" si="15" ref="G209:G234">F209*5128</f>
        <v>41024</v>
      </c>
      <c r="H209" s="10"/>
      <c r="I209" s="10"/>
      <c r="J209" s="1">
        <v>41024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38.25">
      <c r="A210" s="1"/>
      <c r="B210" s="6" t="s">
        <v>186</v>
      </c>
      <c r="C210" s="1"/>
      <c r="D210" s="6" t="s">
        <v>160</v>
      </c>
      <c r="E210" s="1" t="s">
        <v>161</v>
      </c>
      <c r="F210" s="1">
        <v>6</v>
      </c>
      <c r="G210" s="10">
        <f t="shared" si="15"/>
        <v>30768</v>
      </c>
      <c r="H210" s="10"/>
      <c r="I210" s="10"/>
      <c r="J210" s="1">
        <v>30768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38.25">
      <c r="A211" s="1"/>
      <c r="B211" s="6" t="s">
        <v>187</v>
      </c>
      <c r="C211" s="1"/>
      <c r="D211" s="6" t="s">
        <v>160</v>
      </c>
      <c r="E211" s="1" t="s">
        <v>161</v>
      </c>
      <c r="F211" s="1">
        <v>6</v>
      </c>
      <c r="G211" s="10">
        <f t="shared" si="15"/>
        <v>30768</v>
      </c>
      <c r="H211" s="10"/>
      <c r="I211" s="10"/>
      <c r="J211" s="1">
        <v>30768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38.25">
      <c r="A212" s="1"/>
      <c r="B212" s="6" t="s">
        <v>188</v>
      </c>
      <c r="C212" s="1"/>
      <c r="D212" s="6" t="s">
        <v>160</v>
      </c>
      <c r="E212" s="1" t="s">
        <v>161</v>
      </c>
      <c r="F212" s="1">
        <v>6</v>
      </c>
      <c r="G212" s="10">
        <f t="shared" si="15"/>
        <v>30768</v>
      </c>
      <c r="H212" s="10"/>
      <c r="I212" s="10"/>
      <c r="J212" s="1">
        <v>30768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51">
      <c r="A213" s="1"/>
      <c r="B213" s="6" t="s">
        <v>234</v>
      </c>
      <c r="C213" s="1"/>
      <c r="D213" s="6" t="s">
        <v>311</v>
      </c>
      <c r="E213" s="1" t="s">
        <v>139</v>
      </c>
      <c r="F213" s="1">
        <v>4</v>
      </c>
      <c r="G213" s="10">
        <v>27079</v>
      </c>
      <c r="H213" s="10"/>
      <c r="I213" s="10"/>
      <c r="J213" s="1">
        <v>27079</v>
      </c>
      <c r="K213" s="1">
        <v>27079</v>
      </c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89.25">
      <c r="A214" s="1"/>
      <c r="B214" s="14" t="s">
        <v>179</v>
      </c>
      <c r="C214" s="14"/>
      <c r="D214" s="15" t="s">
        <v>181</v>
      </c>
      <c r="E214" s="14" t="s">
        <v>139</v>
      </c>
      <c r="F214" s="14">
        <v>48</v>
      </c>
      <c r="G214" s="20">
        <f>F214*588.6</f>
        <v>28252.800000000003</v>
      </c>
      <c r="H214" s="20"/>
      <c r="I214" s="20"/>
      <c r="J214" s="1">
        <v>28253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38.25">
      <c r="A215" s="95"/>
      <c r="B215" s="114" t="s">
        <v>184</v>
      </c>
      <c r="C215" s="95"/>
      <c r="D215" s="6" t="s">
        <v>160</v>
      </c>
      <c r="E215" s="1" t="s">
        <v>161</v>
      </c>
      <c r="F215" s="1">
        <v>6</v>
      </c>
      <c r="G215" s="10">
        <f t="shared" si="15"/>
        <v>30768</v>
      </c>
      <c r="H215" s="10"/>
      <c r="I215" s="10"/>
      <c r="J215" s="1">
        <v>30768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25.5">
      <c r="A216" s="96"/>
      <c r="B216" s="115"/>
      <c r="C216" s="96"/>
      <c r="D216" s="15" t="s">
        <v>182</v>
      </c>
      <c r="E216" s="14" t="s">
        <v>139</v>
      </c>
      <c r="F216" s="14">
        <v>36</v>
      </c>
      <c r="G216" s="20">
        <f>F216*588.6</f>
        <v>21189.600000000002</v>
      </c>
      <c r="H216" s="20"/>
      <c r="I216" s="20"/>
      <c r="J216" s="1">
        <v>21190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38.25">
      <c r="A217" s="1"/>
      <c r="B217" s="6" t="s">
        <v>169</v>
      </c>
      <c r="C217" s="1"/>
      <c r="D217" s="6" t="s">
        <v>160</v>
      </c>
      <c r="E217" s="1" t="s">
        <v>161</v>
      </c>
      <c r="F217" s="1">
        <v>6</v>
      </c>
      <c r="G217" s="10">
        <f t="shared" si="15"/>
        <v>30768</v>
      </c>
      <c r="H217" s="10"/>
      <c r="I217" s="10"/>
      <c r="J217" s="1">
        <v>30768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38.25">
      <c r="A218" s="1"/>
      <c r="B218" s="6" t="s">
        <v>143</v>
      </c>
      <c r="C218" s="1"/>
      <c r="D218" s="6" t="s">
        <v>160</v>
      </c>
      <c r="E218" s="1" t="s">
        <v>161</v>
      </c>
      <c r="F218" s="1">
        <v>4</v>
      </c>
      <c r="G218" s="10">
        <f t="shared" si="15"/>
        <v>20512</v>
      </c>
      <c r="H218" s="10"/>
      <c r="I218" s="10"/>
      <c r="J218" s="1">
        <v>20512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38.25">
      <c r="A219" s="1"/>
      <c r="B219" s="6" t="s">
        <v>189</v>
      </c>
      <c r="C219" s="1"/>
      <c r="D219" s="6" t="s">
        <v>160</v>
      </c>
      <c r="E219" s="1" t="s">
        <v>161</v>
      </c>
      <c r="F219" s="1">
        <v>8</v>
      </c>
      <c r="G219" s="10">
        <f t="shared" si="15"/>
        <v>41024</v>
      </c>
      <c r="H219" s="10"/>
      <c r="I219" s="10"/>
      <c r="J219" s="1">
        <v>41024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38.25">
      <c r="A220" s="95"/>
      <c r="B220" s="114" t="s">
        <v>183</v>
      </c>
      <c r="C220" s="95"/>
      <c r="D220" s="6" t="s">
        <v>160</v>
      </c>
      <c r="E220" s="1" t="s">
        <v>161</v>
      </c>
      <c r="F220" s="1">
        <v>4</v>
      </c>
      <c r="G220" s="10">
        <f t="shared" si="15"/>
        <v>20512</v>
      </c>
      <c r="H220" s="10"/>
      <c r="I220" s="10"/>
      <c r="J220" s="1">
        <v>20512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25.5">
      <c r="A221" s="96"/>
      <c r="B221" s="115"/>
      <c r="C221" s="96"/>
      <c r="D221" s="15" t="s">
        <v>182</v>
      </c>
      <c r="E221" s="14" t="s">
        <v>139</v>
      </c>
      <c r="F221" s="14">
        <v>24</v>
      </c>
      <c r="G221" s="20">
        <f>F221*588.6</f>
        <v>14126.400000000001</v>
      </c>
      <c r="H221" s="20"/>
      <c r="I221" s="20"/>
      <c r="J221" s="1">
        <v>14126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38.25">
      <c r="A222" s="1"/>
      <c r="B222" s="6" t="s">
        <v>190</v>
      </c>
      <c r="C222" s="1"/>
      <c r="D222" s="6" t="s">
        <v>160</v>
      </c>
      <c r="E222" s="1" t="s">
        <v>161</v>
      </c>
      <c r="F222" s="1">
        <v>6</v>
      </c>
      <c r="G222" s="10">
        <f t="shared" si="15"/>
        <v>30768</v>
      </c>
      <c r="H222" s="10"/>
      <c r="I222" s="10"/>
      <c r="J222" s="1">
        <v>30768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38.25">
      <c r="A223" s="1"/>
      <c r="B223" s="6" t="s">
        <v>245</v>
      </c>
      <c r="C223" s="1"/>
      <c r="D223" s="6" t="s">
        <v>160</v>
      </c>
      <c r="E223" s="1" t="s">
        <v>161</v>
      </c>
      <c r="F223" s="1">
        <v>9</v>
      </c>
      <c r="G223" s="10">
        <f t="shared" si="15"/>
        <v>46152</v>
      </c>
      <c r="H223" s="10"/>
      <c r="I223" s="10"/>
      <c r="J223" s="1">
        <v>46152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38.25">
      <c r="A224" s="1"/>
      <c r="B224" s="6" t="s">
        <v>191</v>
      </c>
      <c r="C224" s="1"/>
      <c r="D224" s="6" t="s">
        <v>160</v>
      </c>
      <c r="E224" s="1" t="s">
        <v>161</v>
      </c>
      <c r="F224" s="1">
        <v>6</v>
      </c>
      <c r="G224" s="10">
        <f t="shared" si="15"/>
        <v>30768</v>
      </c>
      <c r="H224" s="10"/>
      <c r="I224" s="10"/>
      <c r="J224" s="10">
        <v>30768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38.25">
      <c r="A225" s="1"/>
      <c r="B225" s="6" t="s">
        <v>192</v>
      </c>
      <c r="C225" s="1"/>
      <c r="D225" s="6" t="s">
        <v>160</v>
      </c>
      <c r="E225" s="1" t="s">
        <v>161</v>
      </c>
      <c r="F225" s="1">
        <v>8</v>
      </c>
      <c r="G225" s="10">
        <f t="shared" si="15"/>
        <v>41024</v>
      </c>
      <c r="H225" s="10"/>
      <c r="I225" s="10"/>
      <c r="J225" s="10">
        <v>41024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38.25">
      <c r="A226" s="1"/>
      <c r="B226" s="6" t="s">
        <v>193</v>
      </c>
      <c r="C226" s="1"/>
      <c r="D226" s="6" t="s">
        <v>160</v>
      </c>
      <c r="E226" s="1" t="s">
        <v>161</v>
      </c>
      <c r="F226" s="1">
        <v>6</v>
      </c>
      <c r="G226" s="10">
        <f t="shared" si="15"/>
        <v>30768</v>
      </c>
      <c r="H226" s="10"/>
      <c r="I226" s="10"/>
      <c r="J226" s="10">
        <v>30768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38.25">
      <c r="A227" s="1"/>
      <c r="B227" s="6" t="s">
        <v>142</v>
      </c>
      <c r="C227" s="1"/>
      <c r="D227" s="6" t="s">
        <v>160</v>
      </c>
      <c r="E227" s="1" t="s">
        <v>161</v>
      </c>
      <c r="F227" s="1">
        <v>7</v>
      </c>
      <c r="G227" s="10">
        <f t="shared" si="15"/>
        <v>35896</v>
      </c>
      <c r="H227" s="10"/>
      <c r="I227" s="10"/>
      <c r="J227" s="10">
        <v>35896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38.25">
      <c r="A228" s="1"/>
      <c r="B228" s="6" t="s">
        <v>194</v>
      </c>
      <c r="C228" s="1"/>
      <c r="D228" s="6" t="s">
        <v>160</v>
      </c>
      <c r="E228" s="1" t="s">
        <v>161</v>
      </c>
      <c r="F228" s="1">
        <v>8</v>
      </c>
      <c r="G228" s="10">
        <f t="shared" si="15"/>
        <v>41024</v>
      </c>
      <c r="H228" s="10"/>
      <c r="I228" s="10"/>
      <c r="J228" s="10">
        <v>41024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51">
      <c r="A229" s="14"/>
      <c r="B229" s="1" t="s">
        <v>210</v>
      </c>
      <c r="C229" s="14"/>
      <c r="D229" s="6" t="s">
        <v>311</v>
      </c>
      <c r="E229" s="1" t="s">
        <v>139</v>
      </c>
      <c r="F229" s="1">
        <v>4</v>
      </c>
      <c r="G229" s="10">
        <v>27079</v>
      </c>
      <c r="H229" s="10"/>
      <c r="I229" s="10"/>
      <c r="J229" s="1">
        <v>27079</v>
      </c>
      <c r="K229" s="1">
        <v>27079</v>
      </c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</row>
    <row r="230" spans="1:23" ht="38.25">
      <c r="A230" s="14"/>
      <c r="B230" s="1" t="s">
        <v>55</v>
      </c>
      <c r="C230" s="14"/>
      <c r="D230" s="6" t="s">
        <v>160</v>
      </c>
      <c r="E230" s="1" t="s">
        <v>161</v>
      </c>
      <c r="F230" s="14">
        <v>6</v>
      </c>
      <c r="G230" s="16">
        <f t="shared" si="15"/>
        <v>30768</v>
      </c>
      <c r="H230" s="16"/>
      <c r="I230" s="16"/>
      <c r="J230" s="14">
        <v>30768</v>
      </c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</row>
    <row r="231" spans="1:23" ht="38.25">
      <c r="A231" s="14"/>
      <c r="B231" s="1" t="s">
        <v>56</v>
      </c>
      <c r="C231" s="14"/>
      <c r="D231" s="6" t="s">
        <v>160</v>
      </c>
      <c r="E231" s="1" t="s">
        <v>161</v>
      </c>
      <c r="F231" s="14">
        <v>8</v>
      </c>
      <c r="G231" s="16">
        <f t="shared" si="15"/>
        <v>41024</v>
      </c>
      <c r="H231" s="16"/>
      <c r="I231" s="16"/>
      <c r="J231" s="14">
        <v>41024</v>
      </c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</row>
    <row r="232" spans="1:23" ht="38.25">
      <c r="A232" s="14"/>
      <c r="B232" s="1" t="s">
        <v>58</v>
      </c>
      <c r="C232" s="14"/>
      <c r="D232" s="6" t="s">
        <v>160</v>
      </c>
      <c r="E232" s="1" t="s">
        <v>161</v>
      </c>
      <c r="F232" s="14">
        <v>6</v>
      </c>
      <c r="G232" s="16">
        <f t="shared" si="15"/>
        <v>30768</v>
      </c>
      <c r="H232" s="16"/>
      <c r="I232" s="16"/>
      <c r="J232" s="14">
        <v>30768</v>
      </c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</row>
    <row r="233" spans="1:23" ht="38.25">
      <c r="A233" s="14"/>
      <c r="B233" s="1" t="s">
        <v>60</v>
      </c>
      <c r="C233" s="14"/>
      <c r="D233" s="6" t="s">
        <v>160</v>
      </c>
      <c r="E233" s="1" t="s">
        <v>161</v>
      </c>
      <c r="F233" s="14">
        <v>6</v>
      </c>
      <c r="G233" s="16">
        <f t="shared" si="15"/>
        <v>30768</v>
      </c>
      <c r="H233" s="16"/>
      <c r="I233" s="16"/>
      <c r="J233" s="14">
        <v>30768</v>
      </c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</row>
    <row r="234" spans="1:23" ht="38.25">
      <c r="A234" s="14"/>
      <c r="B234" s="1" t="s">
        <v>61</v>
      </c>
      <c r="C234" s="14"/>
      <c r="D234" s="6" t="s">
        <v>160</v>
      </c>
      <c r="E234" s="1" t="s">
        <v>161</v>
      </c>
      <c r="F234" s="14">
        <v>6</v>
      </c>
      <c r="G234" s="16">
        <f t="shared" si="15"/>
        <v>30768</v>
      </c>
      <c r="H234" s="16"/>
      <c r="I234" s="16"/>
      <c r="J234" s="14">
        <v>30768</v>
      </c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</row>
    <row r="235" spans="1:23" ht="51">
      <c r="A235" s="95"/>
      <c r="B235" s="95" t="s">
        <v>170</v>
      </c>
      <c r="C235" s="95"/>
      <c r="D235" s="6" t="s">
        <v>311</v>
      </c>
      <c r="E235" s="1" t="s">
        <v>139</v>
      </c>
      <c r="F235" s="1">
        <v>4</v>
      </c>
      <c r="G235" s="10">
        <v>27079</v>
      </c>
      <c r="H235" s="10"/>
      <c r="I235" s="10"/>
      <c r="J235" s="1">
        <v>27079</v>
      </c>
      <c r="K235" s="1">
        <v>27079</v>
      </c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</row>
    <row r="236" spans="1:23" ht="25.5">
      <c r="A236" s="96"/>
      <c r="B236" s="96"/>
      <c r="C236" s="96"/>
      <c r="D236" s="15" t="s">
        <v>171</v>
      </c>
      <c r="E236" s="14" t="s">
        <v>139</v>
      </c>
      <c r="F236" s="14">
        <v>1</v>
      </c>
      <c r="G236" s="14">
        <f>F236*1675</f>
        <v>1675</v>
      </c>
      <c r="H236" s="14"/>
      <c r="I236" s="14"/>
      <c r="J236" s="14">
        <v>1675</v>
      </c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</row>
    <row r="237" spans="1:23" ht="25.5">
      <c r="A237" s="95"/>
      <c r="B237" s="99" t="s">
        <v>172</v>
      </c>
      <c r="C237" s="95"/>
      <c r="D237" s="15" t="s">
        <v>174</v>
      </c>
      <c r="E237" s="14" t="s">
        <v>139</v>
      </c>
      <c r="F237" s="14">
        <v>1</v>
      </c>
      <c r="G237" s="14">
        <f aca="true" t="shared" si="16" ref="G237:G245">F237*1675</f>
        <v>1675</v>
      </c>
      <c r="H237" s="14"/>
      <c r="I237" s="14"/>
      <c r="J237" s="14">
        <v>1675</v>
      </c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</row>
    <row r="238" spans="1:23" ht="51">
      <c r="A238" s="98"/>
      <c r="B238" s="101"/>
      <c r="C238" s="98"/>
      <c r="D238" s="6" t="s">
        <v>311</v>
      </c>
      <c r="E238" s="1" t="s">
        <v>139</v>
      </c>
      <c r="F238" s="1">
        <v>4</v>
      </c>
      <c r="G238" s="10">
        <v>27079</v>
      </c>
      <c r="H238" s="10"/>
      <c r="I238" s="10"/>
      <c r="J238" s="1">
        <v>27079</v>
      </c>
      <c r="K238" s="1">
        <v>27079</v>
      </c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</row>
    <row r="239" spans="1:23" ht="25.5">
      <c r="A239" s="98"/>
      <c r="B239" s="100"/>
      <c r="C239" s="96"/>
      <c r="D239" s="27" t="s">
        <v>182</v>
      </c>
      <c r="E239" s="28" t="s">
        <v>139</v>
      </c>
      <c r="F239" s="28"/>
      <c r="G239" s="20"/>
      <c r="H239" s="28">
        <v>28</v>
      </c>
      <c r="I239" s="20">
        <v>27540</v>
      </c>
      <c r="J239" s="14">
        <v>27540</v>
      </c>
      <c r="K239" s="14">
        <v>27540</v>
      </c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</row>
    <row r="240" spans="1:23" ht="51">
      <c r="A240" s="24"/>
      <c r="B240" s="14" t="s">
        <v>170</v>
      </c>
      <c r="C240" s="24"/>
      <c r="D240" s="6" t="s">
        <v>311</v>
      </c>
      <c r="E240" s="1" t="s">
        <v>139</v>
      </c>
      <c r="F240" s="1">
        <v>4</v>
      </c>
      <c r="G240" s="10">
        <v>27079</v>
      </c>
      <c r="H240" s="10"/>
      <c r="I240" s="10"/>
      <c r="J240" s="1">
        <v>27079</v>
      </c>
      <c r="K240" s="1">
        <v>27079</v>
      </c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</row>
    <row r="241" spans="1:23" ht="25.5">
      <c r="A241" s="95"/>
      <c r="B241" s="99" t="s">
        <v>173</v>
      </c>
      <c r="C241" s="95"/>
      <c r="D241" s="15" t="s">
        <v>175</v>
      </c>
      <c r="E241" s="14" t="s">
        <v>139</v>
      </c>
      <c r="F241" s="14">
        <v>1</v>
      </c>
      <c r="G241" s="14">
        <f t="shared" si="16"/>
        <v>1675</v>
      </c>
      <c r="H241" s="14"/>
      <c r="I241" s="14"/>
      <c r="J241" s="14">
        <v>1675</v>
      </c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</row>
    <row r="242" spans="1:23" ht="51">
      <c r="A242" s="96"/>
      <c r="B242" s="100"/>
      <c r="C242" s="96"/>
      <c r="D242" s="6" t="s">
        <v>311</v>
      </c>
      <c r="E242" s="1" t="s">
        <v>139</v>
      </c>
      <c r="F242" s="1">
        <v>4</v>
      </c>
      <c r="G242" s="10">
        <v>27079</v>
      </c>
      <c r="H242" s="10"/>
      <c r="I242" s="10"/>
      <c r="J242" s="1">
        <v>27079</v>
      </c>
      <c r="K242" s="1">
        <v>27079</v>
      </c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</row>
    <row r="243" spans="1:23" ht="25.5">
      <c r="A243" s="95"/>
      <c r="B243" s="99" t="s">
        <v>167</v>
      </c>
      <c r="C243" s="95"/>
      <c r="D243" s="15" t="s">
        <v>176</v>
      </c>
      <c r="E243" s="14" t="s">
        <v>139</v>
      </c>
      <c r="F243" s="14">
        <v>1</v>
      </c>
      <c r="G243" s="14">
        <f t="shared" si="16"/>
        <v>1675</v>
      </c>
      <c r="H243" s="14"/>
      <c r="I243" s="14"/>
      <c r="J243" s="14">
        <v>1675</v>
      </c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</row>
    <row r="244" spans="1:23" ht="51">
      <c r="A244" s="96"/>
      <c r="B244" s="100"/>
      <c r="C244" s="96"/>
      <c r="D244" s="6" t="s">
        <v>311</v>
      </c>
      <c r="E244" s="1" t="s">
        <v>139</v>
      </c>
      <c r="F244" s="1">
        <v>4</v>
      </c>
      <c r="G244" s="10">
        <v>27079</v>
      </c>
      <c r="H244" s="10"/>
      <c r="I244" s="10"/>
      <c r="J244" s="1">
        <v>27079</v>
      </c>
      <c r="K244" s="1">
        <v>27079</v>
      </c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</row>
    <row r="245" spans="1:23" ht="25.5">
      <c r="A245" s="95"/>
      <c r="B245" s="99" t="s">
        <v>168</v>
      </c>
      <c r="C245" s="95"/>
      <c r="D245" s="15" t="s">
        <v>177</v>
      </c>
      <c r="E245" s="14" t="s">
        <v>139</v>
      </c>
      <c r="F245" s="14">
        <v>1</v>
      </c>
      <c r="G245" s="14">
        <f t="shared" si="16"/>
        <v>1675</v>
      </c>
      <c r="H245" s="14"/>
      <c r="I245" s="14"/>
      <c r="J245" s="14">
        <v>1675</v>
      </c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</row>
    <row r="246" spans="1:23" ht="25.5">
      <c r="A246" s="96"/>
      <c r="B246" s="100"/>
      <c r="C246" s="96"/>
      <c r="D246" s="6" t="s">
        <v>233</v>
      </c>
      <c r="E246" s="1" t="s">
        <v>139</v>
      </c>
      <c r="F246" s="1">
        <v>1</v>
      </c>
      <c r="G246" s="10">
        <v>19137</v>
      </c>
      <c r="H246" s="16"/>
      <c r="I246" s="16"/>
      <c r="J246" s="14">
        <v>19137</v>
      </c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</row>
    <row r="247" spans="1:23" ht="51">
      <c r="A247" s="14"/>
      <c r="B247" s="1" t="s">
        <v>68</v>
      </c>
      <c r="C247" s="18"/>
      <c r="D247" s="6" t="s">
        <v>311</v>
      </c>
      <c r="E247" s="1" t="s">
        <v>139</v>
      </c>
      <c r="F247" s="1">
        <v>4</v>
      </c>
      <c r="G247" s="10">
        <v>27079</v>
      </c>
      <c r="H247" s="10"/>
      <c r="I247" s="10"/>
      <c r="J247" s="1">
        <v>27079</v>
      </c>
      <c r="K247" s="1">
        <v>27079</v>
      </c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</row>
    <row r="248" spans="1:23" ht="12.75">
      <c r="A248" s="14"/>
      <c r="B248" s="17"/>
      <c r="C248" s="18"/>
      <c r="D248" s="17"/>
      <c r="E248" s="18"/>
      <c r="F248" s="18"/>
      <c r="G248" s="19"/>
      <c r="H248" s="19"/>
      <c r="I248" s="19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</row>
    <row r="249" spans="1:23" ht="13.5" thickBot="1">
      <c r="A249" s="4"/>
      <c r="B249" s="11" t="s">
        <v>151</v>
      </c>
      <c r="C249" s="4"/>
      <c r="D249" s="4"/>
      <c r="E249" s="4"/>
      <c r="F249" s="4"/>
      <c r="G249" s="12">
        <f>SUM(G203:G247)</f>
        <v>1108024.8</v>
      </c>
      <c r="H249" s="12"/>
      <c r="I249" s="12">
        <f>SUM(I203:I247)</f>
        <v>72936</v>
      </c>
      <c r="J249" s="12">
        <f>SUM(J203:J247)</f>
        <v>1180961</v>
      </c>
      <c r="K249" s="12">
        <f>SUM(K203:K247)</f>
        <v>343726</v>
      </c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15.75">
      <c r="A250" s="5" t="s">
        <v>121</v>
      </c>
      <c r="B250" s="5" t="s">
        <v>119</v>
      </c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2.75">
      <c r="A251" s="109"/>
      <c r="B251" s="95" t="s">
        <v>192</v>
      </c>
      <c r="C251" s="95"/>
      <c r="D251" s="6" t="s">
        <v>147</v>
      </c>
      <c r="E251" s="1" t="s">
        <v>139</v>
      </c>
      <c r="F251" s="1">
        <v>2</v>
      </c>
      <c r="G251" s="13">
        <v>17149</v>
      </c>
      <c r="H251" s="13"/>
      <c r="I251" s="13"/>
      <c r="J251" s="13">
        <v>17149</v>
      </c>
      <c r="K251" s="2">
        <v>17149</v>
      </c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63.75">
      <c r="A252" s="96"/>
      <c r="B252" s="96"/>
      <c r="C252" s="96"/>
      <c r="D252" s="6" t="s">
        <v>265</v>
      </c>
      <c r="E252" s="1" t="s">
        <v>124</v>
      </c>
      <c r="F252" s="1">
        <v>175</v>
      </c>
      <c r="G252" s="13">
        <v>343689</v>
      </c>
      <c r="H252" s="13"/>
      <c r="I252" s="13"/>
      <c r="J252" s="13">
        <v>343689</v>
      </c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25.5">
      <c r="A253" s="95"/>
      <c r="B253" s="95" t="s">
        <v>142</v>
      </c>
      <c r="C253" s="95"/>
      <c r="D253" s="29" t="s">
        <v>141</v>
      </c>
      <c r="E253" s="1" t="s">
        <v>269</v>
      </c>
      <c r="F253" s="1">
        <v>230</v>
      </c>
      <c r="G253" s="10">
        <v>196174</v>
      </c>
      <c r="H253" s="10"/>
      <c r="I253" s="10"/>
      <c r="J253" s="10">
        <v>196174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2.75">
      <c r="A254" s="98"/>
      <c r="B254" s="98"/>
      <c r="C254" s="98"/>
      <c r="D254" s="29" t="s">
        <v>387</v>
      </c>
      <c r="E254" s="1" t="s">
        <v>139</v>
      </c>
      <c r="F254" s="1">
        <v>13</v>
      </c>
      <c r="G254" s="13">
        <f>F254*600</f>
        <v>7800</v>
      </c>
      <c r="H254" s="13"/>
      <c r="I254" s="13"/>
      <c r="J254" s="13">
        <v>7800</v>
      </c>
      <c r="K254" s="1">
        <v>7800</v>
      </c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2.75">
      <c r="A255" s="96"/>
      <c r="B255" s="96"/>
      <c r="C255" s="96"/>
      <c r="D255" s="6" t="s">
        <v>147</v>
      </c>
      <c r="E255" s="1" t="s">
        <v>139</v>
      </c>
      <c r="F255" s="1">
        <v>2</v>
      </c>
      <c r="G255" s="13">
        <v>17149</v>
      </c>
      <c r="H255" s="13"/>
      <c r="I255" s="13"/>
      <c r="J255" s="13">
        <v>17149</v>
      </c>
      <c r="K255" s="1">
        <v>17149</v>
      </c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2.75">
      <c r="A256" s="26"/>
      <c r="B256" s="26" t="s">
        <v>194</v>
      </c>
      <c r="C256" s="26"/>
      <c r="D256" s="6" t="s">
        <v>387</v>
      </c>
      <c r="E256" s="1" t="s">
        <v>139</v>
      </c>
      <c r="F256" s="1">
        <v>17</v>
      </c>
      <c r="G256" s="13">
        <f>F256*600</f>
        <v>10200</v>
      </c>
      <c r="H256" s="13"/>
      <c r="I256" s="13"/>
      <c r="J256" s="13">
        <v>10200</v>
      </c>
      <c r="K256" s="1">
        <v>10200</v>
      </c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25.5">
      <c r="A257" s="1"/>
      <c r="B257" s="1" t="s">
        <v>143</v>
      </c>
      <c r="C257" s="1"/>
      <c r="D257" s="29" t="s">
        <v>268</v>
      </c>
      <c r="E257" s="1" t="s">
        <v>269</v>
      </c>
      <c r="F257" s="1">
        <v>126</v>
      </c>
      <c r="G257" s="10">
        <v>108536</v>
      </c>
      <c r="H257" s="10"/>
      <c r="I257" s="10"/>
      <c r="J257" s="10">
        <v>108536</v>
      </c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25.5">
      <c r="A258" s="2"/>
      <c r="B258" s="95" t="s">
        <v>144</v>
      </c>
      <c r="C258" s="95"/>
      <c r="D258" s="29" t="s">
        <v>268</v>
      </c>
      <c r="E258" s="1" t="s">
        <v>269</v>
      </c>
      <c r="F258" s="1">
        <v>8</v>
      </c>
      <c r="G258" s="10">
        <f>F258*853</f>
        <v>6824</v>
      </c>
      <c r="H258" s="10"/>
      <c r="I258" s="10"/>
      <c r="J258" s="10">
        <v>6824</v>
      </c>
      <c r="K258" s="1">
        <v>6824</v>
      </c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2.75">
      <c r="A259" s="26"/>
      <c r="B259" s="96"/>
      <c r="C259" s="96"/>
      <c r="D259" s="6" t="s">
        <v>147</v>
      </c>
      <c r="E259" s="1" t="s">
        <v>139</v>
      </c>
      <c r="F259" s="1">
        <v>7</v>
      </c>
      <c r="G259" s="10">
        <v>58520</v>
      </c>
      <c r="H259" s="10"/>
      <c r="I259" s="10"/>
      <c r="J259" s="10">
        <v>58520</v>
      </c>
      <c r="K259" s="1">
        <v>58520</v>
      </c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2.75">
      <c r="A260" s="26"/>
      <c r="B260" s="26" t="s">
        <v>245</v>
      </c>
      <c r="C260" s="26"/>
      <c r="D260" s="6" t="s">
        <v>147</v>
      </c>
      <c r="E260" s="1" t="s">
        <v>139</v>
      </c>
      <c r="F260" s="1">
        <v>2</v>
      </c>
      <c r="G260" s="13">
        <v>17149</v>
      </c>
      <c r="H260" s="13"/>
      <c r="I260" s="13"/>
      <c r="J260" s="13">
        <v>17149</v>
      </c>
      <c r="K260" s="13">
        <v>17149</v>
      </c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2.75">
      <c r="A261" s="26"/>
      <c r="B261" s="26" t="s">
        <v>191</v>
      </c>
      <c r="C261" s="26"/>
      <c r="D261" s="6" t="s">
        <v>387</v>
      </c>
      <c r="E261" s="1" t="s">
        <v>139</v>
      </c>
      <c r="F261" s="1">
        <v>8</v>
      </c>
      <c r="G261" s="13">
        <f>F261*600</f>
        <v>4800</v>
      </c>
      <c r="H261" s="13"/>
      <c r="I261" s="13"/>
      <c r="J261" s="13">
        <v>4800</v>
      </c>
      <c r="K261" s="13">
        <v>4800</v>
      </c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2.75">
      <c r="A262" s="26"/>
      <c r="B262" s="26" t="s">
        <v>193</v>
      </c>
      <c r="C262" s="26"/>
      <c r="D262" s="6" t="s">
        <v>387</v>
      </c>
      <c r="E262" s="1" t="s">
        <v>139</v>
      </c>
      <c r="F262" s="1">
        <v>7</v>
      </c>
      <c r="G262" s="13">
        <f>F262*600</f>
        <v>4200</v>
      </c>
      <c r="H262" s="13"/>
      <c r="I262" s="13"/>
      <c r="J262" s="13">
        <f>G262</f>
        <v>4200</v>
      </c>
      <c r="K262" s="13">
        <f>J262</f>
        <v>4200</v>
      </c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2.75">
      <c r="A263" s="26"/>
      <c r="B263" s="26" t="s">
        <v>146</v>
      </c>
      <c r="C263" s="26"/>
      <c r="D263" s="6" t="s">
        <v>387</v>
      </c>
      <c r="E263" s="1" t="s">
        <v>139</v>
      </c>
      <c r="F263" s="1">
        <v>10</v>
      </c>
      <c r="G263" s="13">
        <f>F263*600</f>
        <v>6000</v>
      </c>
      <c r="H263" s="13"/>
      <c r="I263" s="13"/>
      <c r="J263" s="13">
        <v>6000</v>
      </c>
      <c r="K263" s="13">
        <v>6000</v>
      </c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2.75">
      <c r="A264" s="26"/>
      <c r="B264" s="26" t="s">
        <v>388</v>
      </c>
      <c r="C264" s="26"/>
      <c r="D264" s="6" t="s">
        <v>387</v>
      </c>
      <c r="E264" s="1" t="s">
        <v>139</v>
      </c>
      <c r="F264" s="1">
        <v>12</v>
      </c>
      <c r="G264" s="13">
        <f>F264*600</f>
        <v>7200</v>
      </c>
      <c r="H264" s="13"/>
      <c r="I264" s="13"/>
      <c r="J264" s="13">
        <v>7200</v>
      </c>
      <c r="K264" s="13">
        <v>7200</v>
      </c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2.75">
      <c r="A265" s="26"/>
      <c r="B265" s="26" t="s">
        <v>184</v>
      </c>
      <c r="C265" s="26"/>
      <c r="D265" s="6" t="s">
        <v>387</v>
      </c>
      <c r="E265" s="1" t="s">
        <v>139</v>
      </c>
      <c r="F265" s="1">
        <v>12</v>
      </c>
      <c r="G265" s="13">
        <v>7200</v>
      </c>
      <c r="H265" s="13"/>
      <c r="I265" s="13"/>
      <c r="J265" s="13">
        <v>7200</v>
      </c>
      <c r="K265" s="13">
        <v>7200</v>
      </c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2.75">
      <c r="A266" s="1"/>
      <c r="B266" s="1" t="s">
        <v>158</v>
      </c>
      <c r="C266" s="1"/>
      <c r="D266" s="6" t="s">
        <v>147</v>
      </c>
      <c r="E266" s="1" t="s">
        <v>139</v>
      </c>
      <c r="F266" s="1">
        <v>2</v>
      </c>
      <c r="G266" s="13">
        <v>17149</v>
      </c>
      <c r="H266" s="13"/>
      <c r="I266" s="13"/>
      <c r="J266" s="13">
        <v>17149</v>
      </c>
      <c r="K266" s="1">
        <v>17149</v>
      </c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2.75">
      <c r="A267" s="1"/>
      <c r="B267" s="1" t="s">
        <v>260</v>
      </c>
      <c r="C267" s="1"/>
      <c r="D267" s="6" t="s">
        <v>147</v>
      </c>
      <c r="E267" s="1" t="s">
        <v>139</v>
      </c>
      <c r="F267" s="1">
        <v>2</v>
      </c>
      <c r="G267" s="13">
        <v>17149</v>
      </c>
      <c r="H267" s="13"/>
      <c r="I267" s="13"/>
      <c r="J267" s="13">
        <v>17149</v>
      </c>
      <c r="K267" s="1">
        <v>17149</v>
      </c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2.75">
      <c r="A268" s="1"/>
      <c r="B268" s="1" t="s">
        <v>148</v>
      </c>
      <c r="C268" s="1"/>
      <c r="D268" s="6" t="s">
        <v>147</v>
      </c>
      <c r="E268" s="1" t="s">
        <v>139</v>
      </c>
      <c r="F268" s="1">
        <v>2</v>
      </c>
      <c r="G268" s="13">
        <v>17149</v>
      </c>
      <c r="H268" s="13"/>
      <c r="I268" s="13"/>
      <c r="J268" s="13">
        <v>17149</v>
      </c>
      <c r="K268" s="1">
        <v>17149</v>
      </c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2.75">
      <c r="A269" s="1"/>
      <c r="B269" s="1" t="s">
        <v>149</v>
      </c>
      <c r="C269" s="1"/>
      <c r="D269" s="6" t="s">
        <v>147</v>
      </c>
      <c r="E269" s="1" t="s">
        <v>139</v>
      </c>
      <c r="F269" s="1">
        <v>4</v>
      </c>
      <c r="G269" s="10">
        <v>34298</v>
      </c>
      <c r="H269" s="10"/>
      <c r="I269" s="10"/>
      <c r="J269" s="10">
        <v>34298</v>
      </c>
      <c r="K269" s="1">
        <v>34298</v>
      </c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51">
      <c r="A270" s="95"/>
      <c r="B270" s="95" t="s">
        <v>145</v>
      </c>
      <c r="C270" s="95"/>
      <c r="D270" s="6" t="s">
        <v>261</v>
      </c>
      <c r="E270" s="1" t="s">
        <v>124</v>
      </c>
      <c r="F270" s="1">
        <v>520</v>
      </c>
      <c r="G270" s="10">
        <v>607167</v>
      </c>
      <c r="H270" s="10"/>
      <c r="I270" s="10"/>
      <c r="J270" s="10">
        <v>607167</v>
      </c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2.75">
      <c r="A271" s="96"/>
      <c r="B271" s="96"/>
      <c r="C271" s="96"/>
      <c r="D271" s="6" t="s">
        <v>258</v>
      </c>
      <c r="E271" s="1" t="s">
        <v>139</v>
      </c>
      <c r="F271" s="1">
        <v>2</v>
      </c>
      <c r="G271" s="13">
        <v>17149</v>
      </c>
      <c r="H271" s="13"/>
      <c r="I271" s="13"/>
      <c r="J271" s="13">
        <v>17149</v>
      </c>
      <c r="K271" s="1">
        <v>17149</v>
      </c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2.75">
      <c r="A272" s="95"/>
      <c r="B272" s="110" t="s">
        <v>263</v>
      </c>
      <c r="C272" s="95"/>
      <c r="D272" s="6" t="s">
        <v>264</v>
      </c>
      <c r="E272" s="1" t="s">
        <v>269</v>
      </c>
      <c r="F272" s="1">
        <v>164</v>
      </c>
      <c r="G272" s="10">
        <v>187248</v>
      </c>
      <c r="H272" s="10"/>
      <c r="I272" s="10"/>
      <c r="J272" s="10">
        <v>187248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25.5">
      <c r="A273" s="96"/>
      <c r="B273" s="111"/>
      <c r="C273" s="96"/>
      <c r="D273" s="29" t="s">
        <v>141</v>
      </c>
      <c r="E273" s="1" t="s">
        <v>269</v>
      </c>
      <c r="F273" s="1">
        <v>84</v>
      </c>
      <c r="G273" s="10">
        <v>76514</v>
      </c>
      <c r="H273" s="10"/>
      <c r="I273" s="10"/>
      <c r="J273" s="10">
        <v>76514</v>
      </c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2.75">
      <c r="A274" s="95"/>
      <c r="B274" s="95" t="s">
        <v>163</v>
      </c>
      <c r="C274" s="95"/>
      <c r="D274" s="6" t="s">
        <v>264</v>
      </c>
      <c r="E274" s="1" t="s">
        <v>269</v>
      </c>
      <c r="F274" s="1">
        <v>164</v>
      </c>
      <c r="G274" s="10">
        <v>187248</v>
      </c>
      <c r="H274" s="10"/>
      <c r="I274" s="10"/>
      <c r="J274" s="10">
        <v>187248</v>
      </c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25.5">
      <c r="A275" s="96"/>
      <c r="B275" s="96"/>
      <c r="C275" s="96"/>
      <c r="D275" s="29" t="s">
        <v>141</v>
      </c>
      <c r="E275" s="1" t="s">
        <v>269</v>
      </c>
      <c r="F275" s="1">
        <v>84</v>
      </c>
      <c r="G275" s="10">
        <v>62582</v>
      </c>
      <c r="H275" s="10"/>
      <c r="I275" s="10"/>
      <c r="J275" s="10">
        <v>62582</v>
      </c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4.25" customHeight="1">
      <c r="A276" s="26"/>
      <c r="B276" s="95" t="s">
        <v>259</v>
      </c>
      <c r="C276" s="95"/>
      <c r="D276" s="29" t="s">
        <v>387</v>
      </c>
      <c r="E276" s="1" t="s">
        <v>139</v>
      </c>
      <c r="F276" s="1">
        <v>13</v>
      </c>
      <c r="G276" s="10">
        <f>F276*600</f>
        <v>7800</v>
      </c>
      <c r="H276" s="10"/>
      <c r="I276" s="10"/>
      <c r="J276" s="10">
        <v>7800</v>
      </c>
      <c r="K276" s="1">
        <v>7800</v>
      </c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25.5" customHeight="1">
      <c r="A277" s="1"/>
      <c r="B277" s="96"/>
      <c r="C277" s="96"/>
      <c r="D277" s="6" t="s">
        <v>147</v>
      </c>
      <c r="E277" s="1" t="s">
        <v>139</v>
      </c>
      <c r="F277" s="1">
        <v>4</v>
      </c>
      <c r="G277" s="10">
        <v>34298</v>
      </c>
      <c r="H277" s="10"/>
      <c r="I277" s="10"/>
      <c r="J277" s="10">
        <v>34298</v>
      </c>
      <c r="K277" s="1">
        <v>34298</v>
      </c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25.5">
      <c r="A278" s="1"/>
      <c r="B278" s="1" t="s">
        <v>386</v>
      </c>
      <c r="C278" s="1"/>
      <c r="D278" s="29" t="s">
        <v>141</v>
      </c>
      <c r="E278" s="1" t="s">
        <v>139</v>
      </c>
      <c r="F278" s="1">
        <v>30</v>
      </c>
      <c r="G278" s="10">
        <f>F278*853</f>
        <v>25590</v>
      </c>
      <c r="H278" s="10"/>
      <c r="I278" s="10"/>
      <c r="J278" s="10">
        <v>25590</v>
      </c>
      <c r="K278" s="1">
        <v>25590</v>
      </c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63.75">
      <c r="A279" s="1"/>
      <c r="B279" s="1" t="s">
        <v>262</v>
      </c>
      <c r="C279" s="1"/>
      <c r="D279" s="6" t="s">
        <v>265</v>
      </c>
      <c r="E279" s="1" t="s">
        <v>124</v>
      </c>
      <c r="F279" s="1">
        <v>130</v>
      </c>
      <c r="G279" s="10">
        <v>207752</v>
      </c>
      <c r="H279" s="10"/>
      <c r="I279" s="10"/>
      <c r="J279" s="10">
        <v>207752</v>
      </c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25.5">
      <c r="A280" s="1"/>
      <c r="B280" s="1" t="s">
        <v>291</v>
      </c>
      <c r="C280" s="1"/>
      <c r="D280" s="6" t="s">
        <v>336</v>
      </c>
      <c r="E280" s="1" t="s">
        <v>139</v>
      </c>
      <c r="F280" s="1">
        <v>4</v>
      </c>
      <c r="G280" s="1">
        <v>34284</v>
      </c>
      <c r="H280" s="1"/>
      <c r="I280" s="1"/>
      <c r="J280" s="1">
        <v>34284</v>
      </c>
      <c r="K280" s="1">
        <v>34284</v>
      </c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2.75">
      <c r="A281" s="1"/>
      <c r="B281" s="1"/>
      <c r="C281" s="1"/>
      <c r="D281" s="6" t="s">
        <v>337</v>
      </c>
      <c r="E281" s="1" t="s">
        <v>139</v>
      </c>
      <c r="F281" s="1">
        <v>1</v>
      </c>
      <c r="G281" s="1">
        <v>2000</v>
      </c>
      <c r="H281" s="1"/>
      <c r="I281" s="1"/>
      <c r="J281" s="1">
        <v>2000</v>
      </c>
      <c r="K281" s="1">
        <v>2000</v>
      </c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25.5">
      <c r="A282" s="14"/>
      <c r="B282" s="14"/>
      <c r="C282" s="14"/>
      <c r="D282" s="15" t="s">
        <v>338</v>
      </c>
      <c r="E282" s="14" t="s">
        <v>339</v>
      </c>
      <c r="F282" s="14">
        <v>125</v>
      </c>
      <c r="G282" s="14">
        <v>201276</v>
      </c>
      <c r="H282" s="14"/>
      <c r="I282" s="14"/>
      <c r="J282" s="14">
        <v>201276</v>
      </c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</row>
    <row r="283" spans="1:23" ht="25.5">
      <c r="A283" s="14"/>
      <c r="B283" s="14" t="s">
        <v>389</v>
      </c>
      <c r="C283" s="14"/>
      <c r="D283" s="29" t="s">
        <v>141</v>
      </c>
      <c r="E283" s="1" t="s">
        <v>139</v>
      </c>
      <c r="F283" s="14">
        <v>16</v>
      </c>
      <c r="G283" s="14">
        <f>853*F283</f>
        <v>13648</v>
      </c>
      <c r="H283" s="14"/>
      <c r="I283" s="14"/>
      <c r="J283" s="14">
        <f>G283</f>
        <v>13648</v>
      </c>
      <c r="K283" s="14">
        <v>13648</v>
      </c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</row>
    <row r="284" spans="1:23" ht="13.5" thickBot="1">
      <c r="A284" s="4"/>
      <c r="B284" s="11" t="s">
        <v>150</v>
      </c>
      <c r="C284" s="4"/>
      <c r="D284" s="4"/>
      <c r="E284" s="4"/>
      <c r="F284" s="4"/>
      <c r="G284" s="12">
        <f>SUM(G251:G279)</f>
        <v>2311683</v>
      </c>
      <c r="H284" s="12"/>
      <c r="I284" s="12">
        <f>SUM(I251:I279)</f>
        <v>0</v>
      </c>
      <c r="J284" s="12">
        <f>SUM(J251:J279)</f>
        <v>2311683</v>
      </c>
      <c r="K284" s="12">
        <f>SUM(K251:K279)</f>
        <v>334773</v>
      </c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ht="15.75">
      <c r="A285" s="5" t="s">
        <v>122</v>
      </c>
      <c r="B285" s="5" t="s">
        <v>120</v>
      </c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5.75">
      <c r="A286" s="5"/>
      <c r="B286" s="1" t="s">
        <v>21</v>
      </c>
      <c r="C286" s="2"/>
      <c r="D286" s="2"/>
      <c r="E286" s="2" t="s">
        <v>195</v>
      </c>
      <c r="F286" s="2">
        <v>0</v>
      </c>
      <c r="G286" s="13">
        <f>F286*770</f>
        <v>0</v>
      </c>
      <c r="H286" s="13"/>
      <c r="I286" s="13"/>
      <c r="J286" s="13">
        <f>I286*770</f>
        <v>0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5.75">
      <c r="A287" s="5"/>
      <c r="B287" s="1" t="s">
        <v>22</v>
      </c>
      <c r="C287" s="2"/>
      <c r="D287" s="2"/>
      <c r="E287" s="2" t="s">
        <v>195</v>
      </c>
      <c r="F287" s="2"/>
      <c r="G287" s="13">
        <f aca="true" t="shared" si="17" ref="G287:G334">F287*770</f>
        <v>0</v>
      </c>
      <c r="H287" s="13"/>
      <c r="I287" s="13"/>
      <c r="J287" s="13">
        <f>I287*770</f>
        <v>0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5.75">
      <c r="A288" s="5"/>
      <c r="B288" s="1" t="s">
        <v>23</v>
      </c>
      <c r="C288" s="2"/>
      <c r="D288" s="2"/>
      <c r="E288" s="2" t="s">
        <v>195</v>
      </c>
      <c r="F288" s="2">
        <v>15</v>
      </c>
      <c r="G288" s="13">
        <f t="shared" si="17"/>
        <v>11550</v>
      </c>
      <c r="H288" s="13"/>
      <c r="I288" s="13"/>
      <c r="J288" s="13">
        <v>11550</v>
      </c>
      <c r="K288" s="2">
        <v>11550</v>
      </c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5.75">
      <c r="A289" s="5"/>
      <c r="B289" s="1" t="s">
        <v>24</v>
      </c>
      <c r="C289" s="2"/>
      <c r="D289" s="2"/>
      <c r="E289" s="2" t="s">
        <v>195</v>
      </c>
      <c r="F289" s="2">
        <v>0</v>
      </c>
      <c r="G289" s="13">
        <f t="shared" si="17"/>
        <v>0</v>
      </c>
      <c r="H289" s="13"/>
      <c r="I289" s="13"/>
      <c r="J289" s="13">
        <f>I289*770</f>
        <v>0</v>
      </c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5.75">
      <c r="A290" s="5"/>
      <c r="B290" s="1" t="s">
        <v>25</v>
      </c>
      <c r="C290" s="2"/>
      <c r="D290" s="2"/>
      <c r="E290" s="2" t="s">
        <v>195</v>
      </c>
      <c r="F290" s="2">
        <v>0</v>
      </c>
      <c r="G290" s="13">
        <f t="shared" si="17"/>
        <v>0</v>
      </c>
      <c r="H290" s="13"/>
      <c r="I290" s="13"/>
      <c r="J290" s="13">
        <f>I290*770</f>
        <v>0</v>
      </c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5.75">
      <c r="A291" s="5"/>
      <c r="B291" s="1" t="s">
        <v>26</v>
      </c>
      <c r="C291" s="2"/>
      <c r="D291" s="2"/>
      <c r="E291" s="2" t="s">
        <v>195</v>
      </c>
      <c r="F291" s="2">
        <v>40</v>
      </c>
      <c r="G291" s="13">
        <f t="shared" si="17"/>
        <v>30800</v>
      </c>
      <c r="H291" s="13"/>
      <c r="I291" s="13"/>
      <c r="J291" s="13">
        <v>30800</v>
      </c>
      <c r="K291" s="2">
        <v>30800</v>
      </c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5.75">
      <c r="A292" s="5"/>
      <c r="B292" s="1" t="s">
        <v>27</v>
      </c>
      <c r="C292" s="2"/>
      <c r="D292" s="2"/>
      <c r="E292" s="2"/>
      <c r="F292" s="2">
        <v>0</v>
      </c>
      <c r="G292" s="13"/>
      <c r="H292" s="13"/>
      <c r="I292" s="13"/>
      <c r="J292" s="1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5.75">
      <c r="A293" s="5"/>
      <c r="B293" s="1" t="s">
        <v>28</v>
      </c>
      <c r="C293" s="2"/>
      <c r="D293" s="2"/>
      <c r="E293" s="2"/>
      <c r="F293" s="2">
        <v>0</v>
      </c>
      <c r="G293" s="13"/>
      <c r="H293" s="13"/>
      <c r="I293" s="13"/>
      <c r="J293" s="1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5.75">
      <c r="A294" s="5"/>
      <c r="B294" s="1" t="s">
        <v>29</v>
      </c>
      <c r="C294" s="2"/>
      <c r="D294" s="2"/>
      <c r="E294" s="2"/>
      <c r="F294" s="2">
        <v>0</v>
      </c>
      <c r="G294" s="13"/>
      <c r="H294" s="13"/>
      <c r="I294" s="13"/>
      <c r="J294" s="1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5.75">
      <c r="A295" s="5"/>
      <c r="B295" s="1" t="s">
        <v>30</v>
      </c>
      <c r="C295" s="2"/>
      <c r="D295" s="2"/>
      <c r="E295" s="2" t="s">
        <v>195</v>
      </c>
      <c r="F295" s="2"/>
      <c r="G295" s="13">
        <f t="shared" si="17"/>
        <v>0</v>
      </c>
      <c r="H295" s="13"/>
      <c r="I295" s="13"/>
      <c r="J295" s="13">
        <f>I295*770</f>
        <v>0</v>
      </c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5.75">
      <c r="A296" s="5"/>
      <c r="B296" s="1" t="s">
        <v>31</v>
      </c>
      <c r="C296" s="2"/>
      <c r="D296" s="2"/>
      <c r="E296" s="2" t="s">
        <v>195</v>
      </c>
      <c r="F296" s="2">
        <v>0</v>
      </c>
      <c r="G296" s="13">
        <f t="shared" si="17"/>
        <v>0</v>
      </c>
      <c r="H296" s="13"/>
      <c r="I296" s="13"/>
      <c r="J296" s="13">
        <f>I296*770</f>
        <v>0</v>
      </c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5.75">
      <c r="A297" s="5"/>
      <c r="B297" s="1" t="s">
        <v>32</v>
      </c>
      <c r="C297" s="2"/>
      <c r="D297" s="2"/>
      <c r="E297" s="2" t="s">
        <v>195</v>
      </c>
      <c r="F297" s="2">
        <v>0</v>
      </c>
      <c r="G297" s="13"/>
      <c r="H297" s="13"/>
      <c r="I297" s="13"/>
      <c r="J297" s="1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5.75">
      <c r="A298" s="5"/>
      <c r="B298" s="1" t="s">
        <v>33</v>
      </c>
      <c r="C298" s="2"/>
      <c r="D298" s="2"/>
      <c r="E298" s="2" t="s">
        <v>195</v>
      </c>
      <c r="F298" s="2">
        <v>0</v>
      </c>
      <c r="G298" s="13">
        <f t="shared" si="17"/>
        <v>0</v>
      </c>
      <c r="H298" s="13"/>
      <c r="I298" s="13"/>
      <c r="J298" s="13">
        <f>I298*770</f>
        <v>0</v>
      </c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2.75">
      <c r="A299" s="1"/>
      <c r="B299" s="1" t="s">
        <v>34</v>
      </c>
      <c r="C299" s="1"/>
      <c r="D299" s="1"/>
      <c r="E299" s="2"/>
      <c r="F299" s="2">
        <v>0</v>
      </c>
      <c r="G299" s="13"/>
      <c r="H299" s="13"/>
      <c r="I299" s="13"/>
      <c r="J299" s="1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2.75">
      <c r="A300" s="1"/>
      <c r="B300" s="1" t="s">
        <v>35</v>
      </c>
      <c r="C300" s="1"/>
      <c r="D300" s="1"/>
      <c r="E300" s="2" t="s">
        <v>195</v>
      </c>
      <c r="F300" s="2">
        <v>195.6</v>
      </c>
      <c r="G300" s="13">
        <v>116380</v>
      </c>
      <c r="H300" s="13"/>
      <c r="I300" s="13"/>
      <c r="J300" s="13">
        <v>116380</v>
      </c>
      <c r="K300" s="1">
        <v>116380</v>
      </c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2.75">
      <c r="A301" s="1"/>
      <c r="B301" s="1" t="s">
        <v>36</v>
      </c>
      <c r="C301" s="1"/>
      <c r="D301" s="1"/>
      <c r="E301" s="2" t="s">
        <v>195</v>
      </c>
      <c r="F301" s="2"/>
      <c r="G301" s="13">
        <f t="shared" si="17"/>
        <v>0</v>
      </c>
      <c r="H301" s="13"/>
      <c r="I301" s="13"/>
      <c r="J301" s="13">
        <f>I301*770</f>
        <v>0</v>
      </c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2.75">
      <c r="A302" s="1"/>
      <c r="B302" s="1" t="s">
        <v>37</v>
      </c>
      <c r="C302" s="1"/>
      <c r="D302" s="1"/>
      <c r="E302" s="2" t="s">
        <v>195</v>
      </c>
      <c r="F302" s="2"/>
      <c r="G302" s="13">
        <f t="shared" si="17"/>
        <v>0</v>
      </c>
      <c r="H302" s="13"/>
      <c r="I302" s="13"/>
      <c r="J302" s="13">
        <f>I302*770</f>
        <v>0</v>
      </c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2.75">
      <c r="A303" s="1"/>
      <c r="B303" s="1" t="s">
        <v>38</v>
      </c>
      <c r="C303" s="1"/>
      <c r="D303" s="1"/>
      <c r="E303" s="2" t="s">
        <v>195</v>
      </c>
      <c r="F303" s="2"/>
      <c r="G303" s="13">
        <f t="shared" si="17"/>
        <v>0</v>
      </c>
      <c r="H303" s="13"/>
      <c r="I303" s="13"/>
      <c r="J303" s="13">
        <f>I303*770</f>
        <v>0</v>
      </c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2.75">
      <c r="A304" s="1"/>
      <c r="B304" s="1" t="s">
        <v>39</v>
      </c>
      <c r="C304" s="1"/>
      <c r="D304" s="1"/>
      <c r="E304" s="2" t="s">
        <v>195</v>
      </c>
      <c r="F304" s="2">
        <v>12</v>
      </c>
      <c r="G304" s="13">
        <f t="shared" si="17"/>
        <v>9240</v>
      </c>
      <c r="H304" s="13"/>
      <c r="I304" s="13"/>
      <c r="J304" s="13">
        <v>9240</v>
      </c>
      <c r="K304" s="1">
        <v>9240</v>
      </c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2.75">
      <c r="A305" s="1"/>
      <c r="B305" s="1" t="s">
        <v>40</v>
      </c>
      <c r="C305" s="1"/>
      <c r="D305" s="1"/>
      <c r="E305" s="2" t="s">
        <v>195</v>
      </c>
      <c r="F305" s="2">
        <v>0</v>
      </c>
      <c r="G305" s="13">
        <f t="shared" si="17"/>
        <v>0</v>
      </c>
      <c r="H305" s="13"/>
      <c r="I305" s="13"/>
      <c r="J305" s="13">
        <f>I305*770</f>
        <v>0</v>
      </c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2.75">
      <c r="A306" s="1"/>
      <c r="B306" s="1" t="s">
        <v>41</v>
      </c>
      <c r="C306" s="1"/>
      <c r="D306" s="1"/>
      <c r="E306" s="2" t="s">
        <v>195</v>
      </c>
      <c r="F306" s="2">
        <v>0</v>
      </c>
      <c r="G306" s="13">
        <f t="shared" si="17"/>
        <v>0</v>
      </c>
      <c r="H306" s="13"/>
      <c r="I306" s="13"/>
      <c r="J306" s="13">
        <f>I306*770</f>
        <v>0</v>
      </c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2.75">
      <c r="A307" s="1"/>
      <c r="B307" s="1" t="s">
        <v>42</v>
      </c>
      <c r="C307" s="1"/>
      <c r="D307" s="1"/>
      <c r="E307" s="2" t="s">
        <v>195</v>
      </c>
      <c r="F307" s="2">
        <v>0</v>
      </c>
      <c r="G307" s="13">
        <f t="shared" si="17"/>
        <v>0</v>
      </c>
      <c r="H307" s="13"/>
      <c r="I307" s="13"/>
      <c r="J307" s="13">
        <f>I307*770</f>
        <v>0</v>
      </c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2.75">
      <c r="A308" s="1"/>
      <c r="B308" s="1" t="s">
        <v>43</v>
      </c>
      <c r="C308" s="1"/>
      <c r="D308" s="1"/>
      <c r="E308" s="2" t="s">
        <v>195</v>
      </c>
      <c r="F308" s="2">
        <v>0</v>
      </c>
      <c r="G308" s="13">
        <f t="shared" si="17"/>
        <v>0</v>
      </c>
      <c r="H308" s="13"/>
      <c r="I308" s="13"/>
      <c r="J308" s="13">
        <f>I308*770</f>
        <v>0</v>
      </c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2.75">
      <c r="A309" s="1"/>
      <c r="B309" s="1" t="s">
        <v>44</v>
      </c>
      <c r="C309" s="1"/>
      <c r="D309" s="1"/>
      <c r="E309" s="2" t="s">
        <v>195</v>
      </c>
      <c r="F309" s="2">
        <v>119</v>
      </c>
      <c r="G309" s="13">
        <f t="shared" si="17"/>
        <v>91630</v>
      </c>
      <c r="H309" s="13"/>
      <c r="I309" s="13"/>
      <c r="J309" s="13">
        <f>G309</f>
        <v>91630</v>
      </c>
      <c r="K309" s="1">
        <v>91630</v>
      </c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2.75">
      <c r="A310" s="1"/>
      <c r="B310" s="1" t="s">
        <v>45</v>
      </c>
      <c r="C310" s="1"/>
      <c r="D310" s="1"/>
      <c r="E310" s="2" t="s">
        <v>195</v>
      </c>
      <c r="F310" s="2">
        <v>26</v>
      </c>
      <c r="G310" s="13">
        <f t="shared" si="17"/>
        <v>20020</v>
      </c>
      <c r="H310" s="13"/>
      <c r="I310" s="13"/>
      <c r="J310" s="13">
        <f aca="true" t="shared" si="18" ref="J310:J334">G310</f>
        <v>20020</v>
      </c>
      <c r="K310" s="1">
        <v>20020</v>
      </c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2.75">
      <c r="A311" s="1"/>
      <c r="B311" s="1" t="s">
        <v>46</v>
      </c>
      <c r="C311" s="1"/>
      <c r="D311" s="1"/>
      <c r="E311" s="2" t="s">
        <v>195</v>
      </c>
      <c r="F311" s="2">
        <v>0</v>
      </c>
      <c r="G311" s="13">
        <f t="shared" si="17"/>
        <v>0</v>
      </c>
      <c r="H311" s="13"/>
      <c r="I311" s="13"/>
      <c r="J311" s="13">
        <f t="shared" si="18"/>
        <v>0</v>
      </c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.75">
      <c r="A312" s="5"/>
      <c r="B312" s="1" t="s">
        <v>47</v>
      </c>
      <c r="C312" s="2"/>
      <c r="D312" s="2"/>
      <c r="E312" s="2" t="s">
        <v>195</v>
      </c>
      <c r="F312" s="2">
        <v>21</v>
      </c>
      <c r="G312" s="13">
        <f t="shared" si="17"/>
        <v>16170</v>
      </c>
      <c r="H312" s="13"/>
      <c r="I312" s="13"/>
      <c r="J312" s="13">
        <f t="shared" si="18"/>
        <v>16170</v>
      </c>
      <c r="K312" s="2">
        <v>16170</v>
      </c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5.75">
      <c r="A313" s="5"/>
      <c r="B313" s="1" t="s">
        <v>48</v>
      </c>
      <c r="C313" s="2"/>
      <c r="D313" s="2"/>
      <c r="E313" s="2" t="s">
        <v>195</v>
      </c>
      <c r="F313" s="2">
        <v>136.2</v>
      </c>
      <c r="G313" s="13">
        <f t="shared" si="17"/>
        <v>104873.99999999999</v>
      </c>
      <c r="H313" s="13"/>
      <c r="I313" s="13"/>
      <c r="J313" s="13">
        <f t="shared" si="18"/>
        <v>104873.99999999999</v>
      </c>
      <c r="K313" s="74">
        <f>J313*20%</f>
        <v>20974.8</v>
      </c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5.75">
      <c r="A314" s="5"/>
      <c r="B314" s="1" t="s">
        <v>49</v>
      </c>
      <c r="C314" s="2"/>
      <c r="D314" s="2"/>
      <c r="E314" s="2" t="s">
        <v>195</v>
      </c>
      <c r="F314" s="2">
        <v>194.5</v>
      </c>
      <c r="G314" s="13">
        <f t="shared" si="17"/>
        <v>149765</v>
      </c>
      <c r="H314" s="13"/>
      <c r="I314" s="13"/>
      <c r="J314" s="13">
        <f t="shared" si="18"/>
        <v>149765</v>
      </c>
      <c r="K314" s="74">
        <f>J314*20%</f>
        <v>29953</v>
      </c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5.75">
      <c r="A315" s="5"/>
      <c r="B315" s="1" t="s">
        <v>50</v>
      </c>
      <c r="C315" s="2"/>
      <c r="D315" s="2"/>
      <c r="E315" s="2" t="s">
        <v>195</v>
      </c>
      <c r="F315" s="2"/>
      <c r="G315" s="13">
        <f t="shared" si="17"/>
        <v>0</v>
      </c>
      <c r="H315" s="13"/>
      <c r="I315" s="13"/>
      <c r="J315" s="13">
        <f t="shared" si="18"/>
        <v>0</v>
      </c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5.75">
      <c r="A316" s="5"/>
      <c r="B316" s="1" t="s">
        <v>51</v>
      </c>
      <c r="C316" s="2"/>
      <c r="D316" s="2"/>
      <c r="E316" s="2" t="s">
        <v>195</v>
      </c>
      <c r="F316" s="2"/>
      <c r="G316" s="13">
        <f t="shared" si="17"/>
        <v>0</v>
      </c>
      <c r="H316" s="13"/>
      <c r="I316" s="13"/>
      <c r="J316" s="13">
        <f t="shared" si="18"/>
        <v>0</v>
      </c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5.75">
      <c r="A317" s="5"/>
      <c r="B317" s="1" t="s">
        <v>52</v>
      </c>
      <c r="C317" s="2"/>
      <c r="D317" s="2"/>
      <c r="E317" s="2" t="s">
        <v>195</v>
      </c>
      <c r="F317" s="2"/>
      <c r="G317" s="13">
        <f t="shared" si="17"/>
        <v>0</v>
      </c>
      <c r="H317" s="13"/>
      <c r="I317" s="13"/>
      <c r="J317" s="13">
        <f t="shared" si="18"/>
        <v>0</v>
      </c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5.75">
      <c r="A318" s="5"/>
      <c r="B318" s="1" t="s">
        <v>53</v>
      </c>
      <c r="C318" s="2"/>
      <c r="D318" s="2"/>
      <c r="E318" s="2" t="s">
        <v>195</v>
      </c>
      <c r="F318" s="2">
        <v>0</v>
      </c>
      <c r="G318" s="13">
        <f t="shared" si="17"/>
        <v>0</v>
      </c>
      <c r="H318" s="13"/>
      <c r="I318" s="13"/>
      <c r="J318" s="13">
        <f t="shared" si="18"/>
        <v>0</v>
      </c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5.75">
      <c r="A319" s="5"/>
      <c r="B319" s="1" t="s">
        <v>54</v>
      </c>
      <c r="C319" s="2"/>
      <c r="D319" s="2"/>
      <c r="E319" s="2" t="s">
        <v>195</v>
      </c>
      <c r="F319" s="2">
        <v>0</v>
      </c>
      <c r="G319" s="13">
        <f t="shared" si="17"/>
        <v>0</v>
      </c>
      <c r="H319" s="13"/>
      <c r="I319" s="13"/>
      <c r="J319" s="13">
        <f t="shared" si="18"/>
        <v>0</v>
      </c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5.75">
      <c r="A320" s="5"/>
      <c r="B320" s="1" t="s">
        <v>55</v>
      </c>
      <c r="C320" s="2"/>
      <c r="D320" s="2"/>
      <c r="E320" s="2" t="s">
        <v>195</v>
      </c>
      <c r="F320" s="2">
        <v>105.4</v>
      </c>
      <c r="G320" s="13">
        <f t="shared" si="17"/>
        <v>81158</v>
      </c>
      <c r="H320" s="13"/>
      <c r="I320" s="13"/>
      <c r="J320" s="13">
        <f t="shared" si="18"/>
        <v>81158</v>
      </c>
      <c r="K320" s="74">
        <f>J320*20%</f>
        <v>16231.6</v>
      </c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5.75">
      <c r="A321" s="5"/>
      <c r="B321" s="1" t="s">
        <v>56</v>
      </c>
      <c r="C321" s="2"/>
      <c r="D321" s="2"/>
      <c r="E321" s="2" t="s">
        <v>195</v>
      </c>
      <c r="F321" s="2">
        <v>0</v>
      </c>
      <c r="G321" s="13">
        <f t="shared" si="17"/>
        <v>0</v>
      </c>
      <c r="H321" s="13"/>
      <c r="I321" s="13"/>
      <c r="J321" s="13">
        <f t="shared" si="18"/>
        <v>0</v>
      </c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5.75">
      <c r="A322" s="5"/>
      <c r="B322" s="1" t="s">
        <v>57</v>
      </c>
      <c r="C322" s="2"/>
      <c r="D322" s="2"/>
      <c r="E322" s="2" t="s">
        <v>195</v>
      </c>
      <c r="F322" s="2">
        <v>0</v>
      </c>
      <c r="G322" s="13">
        <f t="shared" si="17"/>
        <v>0</v>
      </c>
      <c r="H322" s="13"/>
      <c r="I322" s="13"/>
      <c r="J322" s="13">
        <f t="shared" si="18"/>
        <v>0</v>
      </c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5.75">
      <c r="A323" s="5"/>
      <c r="B323" s="1" t="s">
        <v>58</v>
      </c>
      <c r="C323" s="2"/>
      <c r="D323" s="2"/>
      <c r="E323" s="2" t="s">
        <v>195</v>
      </c>
      <c r="F323" s="2">
        <v>137</v>
      </c>
      <c r="G323" s="13">
        <f t="shared" si="17"/>
        <v>105490</v>
      </c>
      <c r="H323" s="13"/>
      <c r="I323" s="13"/>
      <c r="J323" s="13">
        <f t="shared" si="18"/>
        <v>105490</v>
      </c>
      <c r="K323" s="2">
        <f>J323*20%</f>
        <v>21098</v>
      </c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5.75">
      <c r="A324" s="5"/>
      <c r="B324" s="1" t="s">
        <v>59</v>
      </c>
      <c r="C324" s="2"/>
      <c r="D324" s="2"/>
      <c r="E324" s="2" t="s">
        <v>195</v>
      </c>
      <c r="F324" s="2">
        <v>105.4</v>
      </c>
      <c r="G324" s="13">
        <f t="shared" si="17"/>
        <v>81158</v>
      </c>
      <c r="H324" s="13"/>
      <c r="I324" s="13"/>
      <c r="J324" s="13">
        <f t="shared" si="18"/>
        <v>81158</v>
      </c>
      <c r="K324" s="74">
        <f>J324*20%</f>
        <v>16231.6</v>
      </c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2.75">
      <c r="A325" s="1"/>
      <c r="B325" s="1" t="s">
        <v>60</v>
      </c>
      <c r="C325" s="1"/>
      <c r="D325" s="1"/>
      <c r="E325" s="2" t="s">
        <v>195</v>
      </c>
      <c r="F325" s="2">
        <v>122.6</v>
      </c>
      <c r="G325" s="13">
        <f t="shared" si="17"/>
        <v>94402</v>
      </c>
      <c r="H325" s="13"/>
      <c r="I325" s="13"/>
      <c r="J325" s="13">
        <f t="shared" si="18"/>
        <v>94402</v>
      </c>
      <c r="K325" s="74">
        <f>J325*20%</f>
        <v>18880.4</v>
      </c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2.75">
      <c r="A326" s="1"/>
      <c r="B326" s="1" t="s">
        <v>61</v>
      </c>
      <c r="C326" s="1"/>
      <c r="D326" s="1"/>
      <c r="E326" s="2" t="s">
        <v>195</v>
      </c>
      <c r="F326" s="2">
        <v>131</v>
      </c>
      <c r="G326" s="13">
        <f t="shared" si="17"/>
        <v>100870</v>
      </c>
      <c r="H326" s="13"/>
      <c r="I326" s="13"/>
      <c r="J326" s="13">
        <f t="shared" si="18"/>
        <v>100870</v>
      </c>
      <c r="K326" s="2">
        <f>J326*20%</f>
        <v>20174</v>
      </c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2.75">
      <c r="A327" s="1"/>
      <c r="B327" s="1" t="s">
        <v>62</v>
      </c>
      <c r="C327" s="1"/>
      <c r="D327" s="1"/>
      <c r="E327" s="2" t="s">
        <v>195</v>
      </c>
      <c r="F327" s="2"/>
      <c r="G327" s="13"/>
      <c r="H327" s="13"/>
      <c r="I327" s="13"/>
      <c r="J327" s="1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2.75">
      <c r="A328" s="1"/>
      <c r="B328" s="1" t="s">
        <v>63</v>
      </c>
      <c r="C328" s="1"/>
      <c r="D328" s="1"/>
      <c r="E328" s="2" t="s">
        <v>195</v>
      </c>
      <c r="F328" s="2">
        <v>10</v>
      </c>
      <c r="G328" s="13">
        <f t="shared" si="17"/>
        <v>7700</v>
      </c>
      <c r="H328" s="13"/>
      <c r="I328" s="13"/>
      <c r="J328" s="13">
        <f t="shared" si="18"/>
        <v>7700</v>
      </c>
      <c r="K328" s="1">
        <v>7700</v>
      </c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2.75">
      <c r="A329" s="1"/>
      <c r="B329" s="1" t="s">
        <v>64</v>
      </c>
      <c r="C329" s="1"/>
      <c r="D329" s="1"/>
      <c r="E329" s="2" t="s">
        <v>195</v>
      </c>
      <c r="F329" s="2">
        <v>0</v>
      </c>
      <c r="G329" s="13">
        <f t="shared" si="17"/>
        <v>0</v>
      </c>
      <c r="H329" s="13"/>
      <c r="I329" s="13"/>
      <c r="J329" s="13">
        <f t="shared" si="18"/>
        <v>0</v>
      </c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2.75">
      <c r="A330" s="1"/>
      <c r="B330" s="1" t="s">
        <v>65</v>
      </c>
      <c r="C330" s="1"/>
      <c r="D330" s="1"/>
      <c r="E330" s="2" t="s">
        <v>195</v>
      </c>
      <c r="F330" s="2">
        <v>0</v>
      </c>
      <c r="G330" s="13">
        <f t="shared" si="17"/>
        <v>0</v>
      </c>
      <c r="H330" s="13"/>
      <c r="I330" s="13"/>
      <c r="J330" s="13">
        <f t="shared" si="18"/>
        <v>0</v>
      </c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2.75">
      <c r="A331" s="1"/>
      <c r="B331" s="1" t="s">
        <v>66</v>
      </c>
      <c r="C331" s="1"/>
      <c r="D331" s="1"/>
      <c r="E331" s="2" t="s">
        <v>195</v>
      </c>
      <c r="F331" s="2">
        <v>7</v>
      </c>
      <c r="G331" s="13">
        <f t="shared" si="17"/>
        <v>5390</v>
      </c>
      <c r="H331" s="13"/>
      <c r="I331" s="13"/>
      <c r="J331" s="13">
        <f t="shared" si="18"/>
        <v>5390</v>
      </c>
      <c r="K331" s="1">
        <v>5390</v>
      </c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2.75">
      <c r="A332" s="1"/>
      <c r="B332" s="1" t="s">
        <v>67</v>
      </c>
      <c r="C332" s="1"/>
      <c r="D332" s="1"/>
      <c r="E332" s="2" t="s">
        <v>195</v>
      </c>
      <c r="F332" s="2">
        <v>0</v>
      </c>
      <c r="G332" s="13">
        <f t="shared" si="17"/>
        <v>0</v>
      </c>
      <c r="H332" s="13"/>
      <c r="I332" s="13"/>
      <c r="J332" s="13">
        <f t="shared" si="18"/>
        <v>0</v>
      </c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2.75">
      <c r="A333" s="1"/>
      <c r="B333" s="1" t="s">
        <v>68</v>
      </c>
      <c r="C333" s="1"/>
      <c r="D333" s="1"/>
      <c r="E333" s="2" t="s">
        <v>195</v>
      </c>
      <c r="F333" s="2">
        <v>72</v>
      </c>
      <c r="G333" s="13">
        <f t="shared" si="17"/>
        <v>55440</v>
      </c>
      <c r="H333" s="13"/>
      <c r="I333" s="13"/>
      <c r="J333" s="13">
        <f t="shared" si="18"/>
        <v>55440</v>
      </c>
      <c r="K333" s="1">
        <v>55440</v>
      </c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2.75">
      <c r="A334" s="1"/>
      <c r="B334" s="1"/>
      <c r="C334" s="1"/>
      <c r="D334" s="1"/>
      <c r="E334" s="2" t="s">
        <v>195</v>
      </c>
      <c r="F334" s="2"/>
      <c r="G334" s="13">
        <f t="shared" si="17"/>
        <v>0</v>
      </c>
      <c r="H334" s="13"/>
      <c r="I334" s="13"/>
      <c r="J334" s="13">
        <f t="shared" si="18"/>
        <v>0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3.5" thickBot="1">
      <c r="A335" s="4"/>
      <c r="B335" s="11" t="s">
        <v>151</v>
      </c>
      <c r="C335" s="4"/>
      <c r="D335" s="4"/>
      <c r="E335" s="4"/>
      <c r="F335" s="12">
        <f>SUM(F286:F334)</f>
        <v>1449.6999999999998</v>
      </c>
      <c r="G335" s="12">
        <f>SUM(G286:G334)</f>
        <v>1082037</v>
      </c>
      <c r="H335" s="12"/>
      <c r="I335" s="12"/>
      <c r="J335" s="12">
        <f>SUM(J286:J334)</f>
        <v>1082037</v>
      </c>
      <c r="K335" s="12">
        <f>SUM(K286:K334)</f>
        <v>507863.39999999997</v>
      </c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1:23" ht="15.75">
      <c r="A336" s="5" t="s">
        <v>126</v>
      </c>
      <c r="B336" s="5" t="s">
        <v>123</v>
      </c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5.75">
      <c r="A337" s="5"/>
      <c r="B337" s="1" t="s">
        <v>25</v>
      </c>
      <c r="C337" s="2"/>
      <c r="D337" s="2"/>
      <c r="E337" s="2" t="s">
        <v>139</v>
      </c>
      <c r="F337" s="2">
        <v>4</v>
      </c>
      <c r="G337" s="13">
        <f aca="true" t="shared" si="19" ref="G337:G343">F337*6403</f>
        <v>25612</v>
      </c>
      <c r="H337" s="13"/>
      <c r="I337" s="13"/>
      <c r="J337" s="13">
        <f aca="true" t="shared" si="20" ref="J337:J344">G337</f>
        <v>25612</v>
      </c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5.75">
      <c r="A338" s="5"/>
      <c r="B338" s="1" t="s">
        <v>33</v>
      </c>
      <c r="C338" s="2"/>
      <c r="D338" s="2"/>
      <c r="E338" s="2" t="s">
        <v>139</v>
      </c>
      <c r="F338" s="2">
        <v>4</v>
      </c>
      <c r="G338" s="13">
        <f t="shared" si="19"/>
        <v>25612</v>
      </c>
      <c r="H338" s="13"/>
      <c r="I338" s="13"/>
      <c r="J338" s="13">
        <f t="shared" si="20"/>
        <v>25612</v>
      </c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5.75">
      <c r="A339" s="5"/>
      <c r="B339" s="1" t="s">
        <v>359</v>
      </c>
      <c r="C339" s="2"/>
      <c r="D339" s="2"/>
      <c r="E339" s="2" t="s">
        <v>139</v>
      </c>
      <c r="F339" s="2">
        <v>4</v>
      </c>
      <c r="G339" s="13">
        <f t="shared" si="19"/>
        <v>25612</v>
      </c>
      <c r="H339" s="13"/>
      <c r="I339" s="13"/>
      <c r="J339" s="13">
        <f>G339</f>
        <v>25612</v>
      </c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5.75">
      <c r="A340" s="5"/>
      <c r="B340" s="1" t="s">
        <v>44</v>
      </c>
      <c r="C340" s="2"/>
      <c r="D340" s="2"/>
      <c r="E340" s="2" t="s">
        <v>139</v>
      </c>
      <c r="F340" s="2">
        <v>17</v>
      </c>
      <c r="G340" s="13">
        <f t="shared" si="19"/>
        <v>108851</v>
      </c>
      <c r="H340" s="13"/>
      <c r="I340" s="13"/>
      <c r="J340" s="13">
        <f t="shared" si="20"/>
        <v>108851</v>
      </c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2.75">
      <c r="A341" s="1"/>
      <c r="B341" s="1" t="s">
        <v>66</v>
      </c>
      <c r="C341" s="1"/>
      <c r="D341" s="1"/>
      <c r="E341" s="2" t="s">
        <v>139</v>
      </c>
      <c r="F341" s="2">
        <v>4</v>
      </c>
      <c r="G341" s="13">
        <f t="shared" si="19"/>
        <v>25612</v>
      </c>
      <c r="H341" s="13"/>
      <c r="I341" s="13"/>
      <c r="J341" s="13">
        <f t="shared" si="20"/>
        <v>25612</v>
      </c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2.75">
      <c r="A342" s="1"/>
      <c r="B342" s="1" t="s">
        <v>64</v>
      </c>
      <c r="C342" s="1"/>
      <c r="D342" s="1"/>
      <c r="E342" s="2" t="s">
        <v>139</v>
      </c>
      <c r="F342" s="2">
        <v>4</v>
      </c>
      <c r="G342" s="13">
        <f t="shared" si="19"/>
        <v>25612</v>
      </c>
      <c r="H342" s="13"/>
      <c r="I342" s="13"/>
      <c r="J342" s="13">
        <f>G342</f>
        <v>25612</v>
      </c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2.75">
      <c r="A343" s="1"/>
      <c r="B343" s="1" t="s">
        <v>67</v>
      </c>
      <c r="C343" s="1"/>
      <c r="D343" s="1"/>
      <c r="E343" s="2" t="s">
        <v>139</v>
      </c>
      <c r="F343" s="2">
        <v>4</v>
      </c>
      <c r="G343" s="13">
        <f t="shared" si="19"/>
        <v>25612</v>
      </c>
      <c r="H343" s="13"/>
      <c r="I343" s="13"/>
      <c r="J343" s="13">
        <f t="shared" si="20"/>
        <v>25612</v>
      </c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2.75">
      <c r="A344" s="1"/>
      <c r="B344" s="22" t="s">
        <v>151</v>
      </c>
      <c r="C344" s="1"/>
      <c r="D344" s="1"/>
      <c r="E344" s="1"/>
      <c r="F344" s="1"/>
      <c r="G344" s="23">
        <f>SUM(G337:G343)</f>
        <v>262523</v>
      </c>
      <c r="H344" s="23"/>
      <c r="I344" s="23"/>
      <c r="J344" s="25">
        <f t="shared" si="20"/>
        <v>262523</v>
      </c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5.75">
      <c r="A345" s="5" t="s">
        <v>134</v>
      </c>
      <c r="B345" s="5" t="s">
        <v>235</v>
      </c>
      <c r="C345" s="2"/>
      <c r="D345" s="2"/>
      <c r="E345" s="2"/>
      <c r="F345" s="2"/>
      <c r="G345" s="25"/>
      <c r="H345" s="25"/>
      <c r="I345" s="25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25.5">
      <c r="A346" s="1"/>
      <c r="B346" s="6" t="s">
        <v>236</v>
      </c>
      <c r="C346" s="1"/>
      <c r="D346" s="1"/>
      <c r="E346" s="2" t="s">
        <v>139</v>
      </c>
      <c r="F346" s="2">
        <v>20</v>
      </c>
      <c r="G346" s="13">
        <f>F346*3600</f>
        <v>72000</v>
      </c>
      <c r="H346" s="13"/>
      <c r="I346" s="13"/>
      <c r="J346" s="1">
        <v>72000</v>
      </c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2.75">
      <c r="A347" s="1"/>
      <c r="B347" s="1"/>
      <c r="C347" s="1"/>
      <c r="D347" s="1"/>
      <c r="E347" s="2"/>
      <c r="F347" s="2"/>
      <c r="G347" s="13"/>
      <c r="H347" s="13"/>
      <c r="I347" s="13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2.75">
      <c r="A348" s="1"/>
      <c r="B348" s="22" t="s">
        <v>151</v>
      </c>
      <c r="C348" s="1"/>
      <c r="D348" s="1"/>
      <c r="E348" s="2"/>
      <c r="F348" s="2"/>
      <c r="G348" s="25">
        <f>SUM(G346:G347)</f>
        <v>72000</v>
      </c>
      <c r="H348" s="25"/>
      <c r="I348" s="25"/>
      <c r="J348" s="22">
        <v>72000</v>
      </c>
      <c r="K348" s="1">
        <v>72000</v>
      </c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5.75">
      <c r="A349" s="5" t="s">
        <v>164</v>
      </c>
      <c r="B349" s="5" t="s">
        <v>127</v>
      </c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38.25">
      <c r="A350" s="1"/>
      <c r="B350" s="6" t="s">
        <v>312</v>
      </c>
      <c r="C350" s="6" t="s">
        <v>360</v>
      </c>
      <c r="D350" s="6" t="s">
        <v>138</v>
      </c>
      <c r="E350" s="1" t="s">
        <v>139</v>
      </c>
      <c r="F350" s="1">
        <v>9</v>
      </c>
      <c r="G350" s="10">
        <f>F350*13717</f>
        <v>123453</v>
      </c>
      <c r="H350" s="10"/>
      <c r="I350" s="10"/>
      <c r="J350" s="1">
        <v>123453</v>
      </c>
      <c r="K350" s="1">
        <f>13717*2</f>
        <v>27434</v>
      </c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76.5">
      <c r="A351" s="1"/>
      <c r="B351" s="6" t="s">
        <v>152</v>
      </c>
      <c r="C351" s="1"/>
      <c r="D351" s="6" t="s">
        <v>153</v>
      </c>
      <c r="E351" s="1" t="s">
        <v>154</v>
      </c>
      <c r="F351" s="1" t="s">
        <v>155</v>
      </c>
      <c r="G351" s="10">
        <v>18984</v>
      </c>
      <c r="H351" s="10"/>
      <c r="I351" s="10"/>
      <c r="J351" s="10">
        <f>G351</f>
        <v>18984</v>
      </c>
      <c r="K351" s="1">
        <v>18984</v>
      </c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38.25">
      <c r="A352" s="1"/>
      <c r="B352" s="6" t="s">
        <v>236</v>
      </c>
      <c r="C352" s="1"/>
      <c r="D352" s="6" t="s">
        <v>241</v>
      </c>
      <c r="E352" s="1" t="s">
        <v>195</v>
      </c>
      <c r="F352" s="1">
        <f>251*2.3*3.2</f>
        <v>1847.36</v>
      </c>
      <c r="G352" s="10">
        <f>F352*57</f>
        <v>105299.51999999999</v>
      </c>
      <c r="H352" s="10"/>
      <c r="I352" s="10"/>
      <c r="J352" s="10">
        <f aca="true" t="shared" si="21" ref="J352:J361">G352</f>
        <v>105299.51999999999</v>
      </c>
      <c r="K352" s="1">
        <v>105300</v>
      </c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25.5">
      <c r="A353" s="1"/>
      <c r="B353" s="1" t="s">
        <v>25</v>
      </c>
      <c r="C353" s="1"/>
      <c r="D353" s="6" t="s">
        <v>270</v>
      </c>
      <c r="E353" s="1" t="s">
        <v>139</v>
      </c>
      <c r="F353" s="1">
        <v>9</v>
      </c>
      <c r="G353" s="10">
        <f>F353*10148</f>
        <v>91332</v>
      </c>
      <c r="H353" s="10"/>
      <c r="I353" s="10"/>
      <c r="J353" s="10">
        <f t="shared" si="21"/>
        <v>91332</v>
      </c>
      <c r="K353" s="1">
        <v>10148</v>
      </c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25.5">
      <c r="A354" s="1"/>
      <c r="B354" s="1" t="s">
        <v>26</v>
      </c>
      <c r="C354" s="1"/>
      <c r="D354" s="6" t="s">
        <v>270</v>
      </c>
      <c r="E354" s="1" t="s">
        <v>139</v>
      </c>
      <c r="F354" s="1">
        <v>9</v>
      </c>
      <c r="G354" s="10">
        <f aca="true" t="shared" si="22" ref="G354:G361">F354*10148</f>
        <v>91332</v>
      </c>
      <c r="H354" s="10"/>
      <c r="I354" s="10"/>
      <c r="J354" s="10">
        <f t="shared" si="21"/>
        <v>91332</v>
      </c>
      <c r="K354" s="1">
        <v>10148</v>
      </c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25.5">
      <c r="A355" s="1"/>
      <c r="B355" s="1" t="s">
        <v>33</v>
      </c>
      <c r="C355" s="1"/>
      <c r="D355" s="6" t="s">
        <v>270</v>
      </c>
      <c r="E355" s="1" t="s">
        <v>139</v>
      </c>
      <c r="F355" s="1">
        <v>9</v>
      </c>
      <c r="G355" s="10">
        <f t="shared" si="22"/>
        <v>91332</v>
      </c>
      <c r="H355" s="10"/>
      <c r="I355" s="10"/>
      <c r="J355" s="10">
        <f t="shared" si="21"/>
        <v>91332</v>
      </c>
      <c r="K355" s="1">
        <f aca="true" t="shared" si="23" ref="K355:K360">10148*2</f>
        <v>20296</v>
      </c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25.5">
      <c r="A356" s="1"/>
      <c r="B356" s="1" t="s">
        <v>63</v>
      </c>
      <c r="C356" s="1"/>
      <c r="D356" s="6" t="s">
        <v>270</v>
      </c>
      <c r="E356" s="1" t="s">
        <v>139</v>
      </c>
      <c r="F356" s="1">
        <v>7</v>
      </c>
      <c r="G356" s="10">
        <f t="shared" si="22"/>
        <v>71036</v>
      </c>
      <c r="H356" s="10"/>
      <c r="I356" s="10"/>
      <c r="J356" s="10">
        <f t="shared" si="21"/>
        <v>71036</v>
      </c>
      <c r="K356" s="1">
        <f t="shared" si="23"/>
        <v>20296</v>
      </c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25.5">
      <c r="A357" s="1"/>
      <c r="B357" s="1" t="s">
        <v>64</v>
      </c>
      <c r="C357" s="1"/>
      <c r="D357" s="6" t="s">
        <v>270</v>
      </c>
      <c r="E357" s="1" t="s">
        <v>139</v>
      </c>
      <c r="F357" s="1">
        <v>9</v>
      </c>
      <c r="G357" s="10">
        <f t="shared" si="22"/>
        <v>91332</v>
      </c>
      <c r="H357" s="10"/>
      <c r="I357" s="10"/>
      <c r="J357" s="10">
        <f t="shared" si="21"/>
        <v>91332</v>
      </c>
      <c r="K357" s="1">
        <f>10148</f>
        <v>10148</v>
      </c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25.5">
      <c r="A358" s="1"/>
      <c r="B358" s="1" t="s">
        <v>65</v>
      </c>
      <c r="C358" s="1"/>
      <c r="D358" s="6" t="s">
        <v>270</v>
      </c>
      <c r="E358" s="1" t="s">
        <v>139</v>
      </c>
      <c r="F358" s="1">
        <v>8</v>
      </c>
      <c r="G358" s="10">
        <f t="shared" si="22"/>
        <v>81184</v>
      </c>
      <c r="H358" s="10"/>
      <c r="I358" s="10"/>
      <c r="J358" s="10">
        <f t="shared" si="21"/>
        <v>81184</v>
      </c>
      <c r="K358" s="1">
        <f t="shared" si="23"/>
        <v>20296</v>
      </c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25.5">
      <c r="A359" s="1"/>
      <c r="B359" s="1" t="s">
        <v>66</v>
      </c>
      <c r="C359" s="1" t="s">
        <v>357</v>
      </c>
      <c r="D359" s="6" t="s">
        <v>270</v>
      </c>
      <c r="E359" s="1" t="s">
        <v>139</v>
      </c>
      <c r="F359" s="1">
        <v>9</v>
      </c>
      <c r="G359" s="10">
        <f t="shared" si="22"/>
        <v>91332</v>
      </c>
      <c r="H359" s="10"/>
      <c r="I359" s="10"/>
      <c r="J359" s="10">
        <f t="shared" si="21"/>
        <v>91332</v>
      </c>
      <c r="K359" s="1">
        <f t="shared" si="23"/>
        <v>20296</v>
      </c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25.5">
      <c r="A360" s="1"/>
      <c r="B360" s="1" t="s">
        <v>67</v>
      </c>
      <c r="C360" s="1"/>
      <c r="D360" s="6" t="s">
        <v>270</v>
      </c>
      <c r="E360" s="1" t="s">
        <v>139</v>
      </c>
      <c r="F360" s="1">
        <v>9</v>
      </c>
      <c r="G360" s="10">
        <f t="shared" si="22"/>
        <v>91332</v>
      </c>
      <c r="H360" s="10"/>
      <c r="I360" s="10"/>
      <c r="J360" s="10">
        <f t="shared" si="21"/>
        <v>91332</v>
      </c>
      <c r="K360" s="1">
        <f t="shared" si="23"/>
        <v>20296</v>
      </c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25.5">
      <c r="A361" s="1"/>
      <c r="B361" s="1" t="s">
        <v>68</v>
      </c>
      <c r="C361" s="1"/>
      <c r="D361" s="6" t="s">
        <v>270</v>
      </c>
      <c r="E361" s="1" t="s">
        <v>139</v>
      </c>
      <c r="F361" s="1">
        <v>9</v>
      </c>
      <c r="G361" s="10">
        <f t="shared" si="22"/>
        <v>91332</v>
      </c>
      <c r="H361" s="10"/>
      <c r="I361" s="10"/>
      <c r="J361" s="10">
        <f t="shared" si="21"/>
        <v>91332</v>
      </c>
      <c r="K361" s="1">
        <v>91332</v>
      </c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2.75">
      <c r="A362" s="1"/>
      <c r="B362" s="6"/>
      <c r="C362" s="1"/>
      <c r="D362" s="6"/>
      <c r="E362" s="1"/>
      <c r="F362" s="1"/>
      <c r="G362" s="10"/>
      <c r="H362" s="10"/>
      <c r="I362" s="10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2.75">
      <c r="A363" s="1"/>
      <c r="B363" s="22" t="s">
        <v>151</v>
      </c>
      <c r="C363" s="1"/>
      <c r="D363" s="1"/>
      <c r="E363" s="1"/>
      <c r="F363" s="1"/>
      <c r="G363" s="23">
        <f>SUM(G350:G362)</f>
        <v>1039280.52</v>
      </c>
      <c r="H363" s="23"/>
      <c r="I363" s="23"/>
      <c r="J363" s="23">
        <f>SUM(J350:J362)</f>
        <v>1039280.52</v>
      </c>
      <c r="K363" s="23">
        <f>SUM(K350:K362)</f>
        <v>374974</v>
      </c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5.75">
      <c r="A365" s="9" t="s">
        <v>254</v>
      </c>
      <c r="B365" s="9" t="s">
        <v>246</v>
      </c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25.5">
      <c r="A366" s="1"/>
      <c r="B366" s="1" t="s">
        <v>144</v>
      </c>
      <c r="C366" s="1"/>
      <c r="D366" s="6" t="s">
        <v>162</v>
      </c>
      <c r="E366" s="1" t="s">
        <v>139</v>
      </c>
      <c r="F366" s="1">
        <v>25</v>
      </c>
      <c r="G366" s="10">
        <f>F366*1615</f>
        <v>40375</v>
      </c>
      <c r="H366" s="10"/>
      <c r="I366" s="10"/>
      <c r="J366" s="10">
        <f>G366</f>
        <v>40375</v>
      </c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25.5">
      <c r="A367" s="1"/>
      <c r="B367" s="1" t="s">
        <v>146</v>
      </c>
      <c r="C367" s="1"/>
      <c r="D367" s="6" t="s">
        <v>162</v>
      </c>
      <c r="E367" s="1" t="s">
        <v>139</v>
      </c>
      <c r="F367" s="1">
        <v>51</v>
      </c>
      <c r="G367" s="10">
        <f>F367*1615</f>
        <v>82365</v>
      </c>
      <c r="H367" s="10"/>
      <c r="I367" s="10"/>
      <c r="J367" s="10">
        <f>G367</f>
        <v>82365</v>
      </c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25.5">
      <c r="A368" s="1"/>
      <c r="B368" s="1" t="s">
        <v>245</v>
      </c>
      <c r="C368" s="1"/>
      <c r="D368" s="6" t="s">
        <v>162</v>
      </c>
      <c r="E368" s="1" t="s">
        <v>139</v>
      </c>
      <c r="F368" s="1">
        <v>76</v>
      </c>
      <c r="G368" s="10">
        <f>F368*1615</f>
        <v>122740</v>
      </c>
      <c r="H368" s="10"/>
      <c r="I368" s="10"/>
      <c r="J368" s="10">
        <f>G368</f>
        <v>122740</v>
      </c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24.75" customHeight="1">
      <c r="A369" s="1"/>
      <c r="B369" s="1" t="s">
        <v>187</v>
      </c>
      <c r="C369" s="1"/>
      <c r="D369" s="6" t="s">
        <v>162</v>
      </c>
      <c r="E369" s="1" t="s">
        <v>139</v>
      </c>
      <c r="F369" s="1">
        <v>51</v>
      </c>
      <c r="G369" s="10">
        <f>F369*1615</f>
        <v>82365</v>
      </c>
      <c r="H369" s="10"/>
      <c r="I369" s="10"/>
      <c r="J369" s="10">
        <f>G369</f>
        <v>82365</v>
      </c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4.5" customHeight="1" hidden="1">
      <c r="A370" s="1"/>
      <c r="B370" s="1" t="s">
        <v>163</v>
      </c>
      <c r="C370" s="1"/>
      <c r="D370" s="6" t="s">
        <v>162</v>
      </c>
      <c r="E370" s="1" t="s">
        <v>139</v>
      </c>
      <c r="F370" s="1">
        <v>34</v>
      </c>
      <c r="G370" s="10">
        <f>F370*1615</f>
        <v>54910</v>
      </c>
      <c r="H370" s="10"/>
      <c r="I370" s="10"/>
      <c r="J370" s="10">
        <f>G370</f>
        <v>54910</v>
      </c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2.75" hidden="1">
      <c r="A371" s="1"/>
      <c r="B371" s="1"/>
      <c r="C371" s="1"/>
      <c r="D371" s="6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2.75" hidden="1">
      <c r="A372" s="1"/>
      <c r="B372" s="22" t="s">
        <v>151</v>
      </c>
      <c r="C372" s="1"/>
      <c r="D372" s="6"/>
      <c r="E372" s="1"/>
      <c r="F372" s="1"/>
      <c r="G372" s="23">
        <f>SUM(G366:G371)</f>
        <v>382755</v>
      </c>
      <c r="H372" s="23"/>
      <c r="I372" s="23"/>
      <c r="J372" s="23">
        <f>SUM(J366:J371)</f>
        <v>382755</v>
      </c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2.75" hidden="1">
      <c r="A373" s="1"/>
      <c r="B373" s="1"/>
      <c r="C373" s="1"/>
      <c r="D373" s="6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2.75" hidden="1">
      <c r="A374" s="1"/>
      <c r="B374" s="1"/>
      <c r="C374" s="1"/>
      <c r="D374" s="6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2.75" hidden="1">
      <c r="A375" s="1"/>
      <c r="B375" s="1"/>
      <c r="C375" s="1"/>
      <c r="D375" s="6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5.75">
      <c r="A376" s="9" t="s">
        <v>255</v>
      </c>
      <c r="B376" s="9" t="s">
        <v>165</v>
      </c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2.75">
      <c r="A377" s="1"/>
      <c r="B377" s="1" t="s">
        <v>166</v>
      </c>
      <c r="C377" s="1"/>
      <c r="D377" s="1"/>
      <c r="E377" s="1" t="s">
        <v>267</v>
      </c>
      <c r="F377" s="1">
        <v>1</v>
      </c>
      <c r="G377" s="10">
        <v>336413</v>
      </c>
      <c r="H377" s="10"/>
      <c r="I377" s="10"/>
      <c r="J377" s="10">
        <f>G377</f>
        <v>336413</v>
      </c>
      <c r="K377" s="1">
        <v>336413</v>
      </c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2.75">
      <c r="A378" s="1"/>
      <c r="B378" s="31" t="s">
        <v>291</v>
      </c>
      <c r="C378" s="1"/>
      <c r="D378" s="1"/>
      <c r="E378" s="1" t="s">
        <v>267</v>
      </c>
      <c r="H378" s="1">
        <v>1</v>
      </c>
      <c r="I378" s="47">
        <v>82207</v>
      </c>
      <c r="J378" s="1">
        <v>82207</v>
      </c>
      <c r="K378" s="1">
        <v>82207</v>
      </c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2.75">
      <c r="A379" s="1"/>
      <c r="B379" s="1" t="s">
        <v>313</v>
      </c>
      <c r="C379" s="1"/>
      <c r="D379" s="1"/>
      <c r="E379" s="1" t="s">
        <v>267</v>
      </c>
      <c r="F379" s="1">
        <v>1</v>
      </c>
      <c r="G379" s="10">
        <v>25100</v>
      </c>
      <c r="H379" s="10"/>
      <c r="I379" s="10"/>
      <c r="J379" s="1">
        <v>25100</v>
      </c>
      <c r="K379" s="1">
        <v>25100</v>
      </c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33" customHeight="1">
      <c r="A380" s="1"/>
      <c r="B380" s="6" t="s">
        <v>314</v>
      </c>
      <c r="C380" s="1"/>
      <c r="D380" s="1"/>
      <c r="E380" s="1" t="s">
        <v>267</v>
      </c>
      <c r="F380" s="1">
        <v>1</v>
      </c>
      <c r="G380" s="10">
        <v>652108</v>
      </c>
      <c r="H380" s="10"/>
      <c r="I380" s="10"/>
      <c r="J380" s="1">
        <v>652108</v>
      </c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33" customHeight="1">
      <c r="A381" s="1"/>
      <c r="B381" s="6" t="s">
        <v>354</v>
      </c>
      <c r="C381" s="1"/>
      <c r="D381" s="1" t="s">
        <v>390</v>
      </c>
      <c r="E381" s="1" t="s">
        <v>267</v>
      </c>
      <c r="F381" s="1">
        <v>1</v>
      </c>
      <c r="G381" s="10">
        <f>172705*1.18</f>
        <v>203791.9</v>
      </c>
      <c r="H381" s="10"/>
      <c r="I381" s="10"/>
      <c r="J381" s="1">
        <v>203792</v>
      </c>
      <c r="K381" s="1">
        <v>203792</v>
      </c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33" customHeight="1">
      <c r="A382" s="1"/>
      <c r="B382" s="6" t="s">
        <v>315</v>
      </c>
      <c r="C382" s="1"/>
      <c r="D382" s="1"/>
      <c r="E382" s="1" t="s">
        <v>316</v>
      </c>
      <c r="F382" s="1">
        <v>9</v>
      </c>
      <c r="G382" s="10">
        <f>9*70000</f>
        <v>630000</v>
      </c>
      <c r="H382" s="10"/>
      <c r="I382" s="10"/>
      <c r="J382" s="1">
        <v>630000</v>
      </c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2.75">
      <c r="A383" s="1"/>
      <c r="B383" s="22" t="s">
        <v>151</v>
      </c>
      <c r="C383" s="1"/>
      <c r="D383" s="1"/>
      <c r="E383" s="1"/>
      <c r="F383" s="1"/>
      <c r="G383" s="23">
        <f>SUM(G377:G382)</f>
        <v>1847412.9</v>
      </c>
      <c r="H383" s="23"/>
      <c r="I383" s="23">
        <f>SUM(I377:I382)</f>
        <v>82207</v>
      </c>
      <c r="J383" s="23">
        <f>SUM(J377:J382)</f>
        <v>1929620</v>
      </c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8">
      <c r="A384" s="77" t="s">
        <v>256</v>
      </c>
      <c r="B384" s="9" t="s">
        <v>257</v>
      </c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8">
      <c r="A385" s="77">
        <v>15</v>
      </c>
      <c r="B385" s="9" t="s">
        <v>394</v>
      </c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8">
      <c r="A386" s="77"/>
      <c r="B386" s="78" t="s">
        <v>34</v>
      </c>
      <c r="C386" s="1"/>
      <c r="D386" s="1"/>
      <c r="E386" s="1" t="s">
        <v>339</v>
      </c>
      <c r="F386" s="1">
        <v>27</v>
      </c>
      <c r="G386" s="1">
        <v>9653</v>
      </c>
      <c r="H386" s="1"/>
      <c r="I386" s="1"/>
      <c r="J386" s="1">
        <v>9653</v>
      </c>
      <c r="K386" s="1">
        <v>9653</v>
      </c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8">
      <c r="A387" s="77"/>
      <c r="B387" s="78" t="s">
        <v>391</v>
      </c>
      <c r="C387" s="1"/>
      <c r="D387" s="1"/>
      <c r="E387" s="1"/>
      <c r="F387" s="1"/>
      <c r="G387" s="22">
        <f>G386</f>
        <v>9653</v>
      </c>
      <c r="H387" s="22"/>
      <c r="I387" s="22"/>
      <c r="J387" s="22">
        <f>J386</f>
        <v>9653</v>
      </c>
      <c r="K387" s="22">
        <v>9653</v>
      </c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6.5" thickBot="1">
      <c r="A388" s="9">
        <v>16</v>
      </c>
      <c r="B388" s="9" t="s">
        <v>333</v>
      </c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6.5" thickBot="1">
      <c r="A389" s="9"/>
      <c r="B389" t="s">
        <v>21</v>
      </c>
      <c r="C389" s="1"/>
      <c r="D389" s="1"/>
      <c r="E389" s="1" t="s">
        <v>195</v>
      </c>
      <c r="F389" s="1">
        <v>2126</v>
      </c>
      <c r="G389" s="54">
        <f>2126*3.15*3</f>
        <v>20090.699999999997</v>
      </c>
      <c r="H389" s="54"/>
      <c r="I389" s="1"/>
      <c r="J389" s="1"/>
      <c r="K389" s="54">
        <f>2126*3.15</f>
        <v>6696.9</v>
      </c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6.5" thickBot="1">
      <c r="A390" s="9"/>
      <c r="B390" s="37" t="s">
        <v>22</v>
      </c>
      <c r="C390" s="1"/>
      <c r="D390" s="1"/>
      <c r="E390" s="1" t="s">
        <v>195</v>
      </c>
      <c r="F390" s="1">
        <v>1990</v>
      </c>
      <c r="G390" s="55">
        <f>1990*3.15*3</f>
        <v>18805.5</v>
      </c>
      <c r="H390" s="55"/>
      <c r="I390" s="1"/>
      <c r="J390" s="1"/>
      <c r="K390" s="55">
        <f>1990*3.15</f>
        <v>6268.5</v>
      </c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6.5" thickBot="1">
      <c r="A391" s="9"/>
      <c r="B391" t="s">
        <v>23</v>
      </c>
      <c r="C391" s="1"/>
      <c r="D391" s="1"/>
      <c r="E391" s="1" t="s">
        <v>195</v>
      </c>
      <c r="F391" s="1">
        <v>2381</v>
      </c>
      <c r="G391" s="56">
        <f>2381*3.14*3</f>
        <v>22429.02</v>
      </c>
      <c r="H391" s="56"/>
      <c r="I391" s="1"/>
      <c r="J391" s="1"/>
      <c r="K391" s="56">
        <f>2381*3.14</f>
        <v>7476.34</v>
      </c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6.5" thickBot="1">
      <c r="A392" s="9"/>
      <c r="B392" s="37" t="s">
        <v>24</v>
      </c>
      <c r="C392" s="1"/>
      <c r="D392" s="1"/>
      <c r="E392" s="1" t="s">
        <v>195</v>
      </c>
      <c r="F392" s="1">
        <v>4363</v>
      </c>
      <c r="G392" s="55">
        <f>4363*3.14*3</f>
        <v>41099.46</v>
      </c>
      <c r="H392" s="55"/>
      <c r="I392" s="1"/>
      <c r="J392" s="1"/>
      <c r="K392" s="55">
        <f>4363*3.14</f>
        <v>13699.82</v>
      </c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6.5" thickBot="1">
      <c r="A393" s="9"/>
      <c r="B393" t="s">
        <v>25</v>
      </c>
      <c r="C393" s="1"/>
      <c r="D393" s="1"/>
      <c r="E393" s="1" t="s">
        <v>195</v>
      </c>
      <c r="F393" s="1">
        <v>1081</v>
      </c>
      <c r="G393" s="54">
        <f>1081*3.15*3</f>
        <v>10215.45</v>
      </c>
      <c r="H393" s="54"/>
      <c r="I393" s="1"/>
      <c r="J393" s="1"/>
      <c r="K393" s="54">
        <f>1081*3.15</f>
        <v>3405.15</v>
      </c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6.5" thickBot="1">
      <c r="A394" s="9"/>
      <c r="B394" s="37" t="s">
        <v>26</v>
      </c>
      <c r="C394" s="1"/>
      <c r="D394" s="1"/>
      <c r="E394" s="1" t="s">
        <v>195</v>
      </c>
      <c r="F394" s="1">
        <v>988</v>
      </c>
      <c r="G394" s="55">
        <f>988*3.15*3</f>
        <v>9336.599999999999</v>
      </c>
      <c r="H394" s="55"/>
      <c r="I394" s="1"/>
      <c r="J394" s="1"/>
      <c r="K394" s="55">
        <f>988*3.15</f>
        <v>3112.2</v>
      </c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6.5" thickBot="1">
      <c r="A395" s="9"/>
      <c r="B395" t="s">
        <v>27</v>
      </c>
      <c r="C395" s="1"/>
      <c r="D395" s="1"/>
      <c r="E395" s="1" t="s">
        <v>195</v>
      </c>
      <c r="F395" s="1">
        <v>3010</v>
      </c>
      <c r="G395" s="57">
        <f>3010*3.15*3</f>
        <v>28444.5</v>
      </c>
      <c r="H395" s="57"/>
      <c r="I395" s="1"/>
      <c r="J395" s="1"/>
      <c r="K395" s="57">
        <f>3010*3.15</f>
        <v>9481.5</v>
      </c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6.5" thickBot="1">
      <c r="A396" s="9"/>
      <c r="B396" s="37" t="s">
        <v>28</v>
      </c>
      <c r="C396" s="1"/>
      <c r="D396" s="1"/>
      <c r="E396" s="1" t="s">
        <v>195</v>
      </c>
      <c r="F396" s="1">
        <v>1070</v>
      </c>
      <c r="G396" s="55">
        <f>1070*3.15*3</f>
        <v>10111.5</v>
      </c>
      <c r="H396" s="55"/>
      <c r="I396" s="1"/>
      <c r="J396" s="1"/>
      <c r="K396" s="55">
        <f>1070*3.15</f>
        <v>3370.5</v>
      </c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6.5" thickBot="1">
      <c r="A397" s="9"/>
      <c r="B397" t="s">
        <v>29</v>
      </c>
      <c r="C397" s="1"/>
      <c r="D397" s="1"/>
      <c r="E397" s="1" t="s">
        <v>195</v>
      </c>
      <c r="F397" s="1">
        <v>2770</v>
      </c>
      <c r="G397" s="56">
        <f>2770*3.14*3</f>
        <v>26093.4</v>
      </c>
      <c r="H397" s="56"/>
      <c r="I397" s="1"/>
      <c r="J397" s="1"/>
      <c r="K397" s="56">
        <f>2770*3.14</f>
        <v>8697.800000000001</v>
      </c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6.5" thickBot="1">
      <c r="A398" s="9"/>
      <c r="B398" s="37" t="s">
        <v>30</v>
      </c>
      <c r="C398" s="1"/>
      <c r="D398" s="1"/>
      <c r="E398" s="1" t="s">
        <v>195</v>
      </c>
      <c r="F398" s="1">
        <v>2962</v>
      </c>
      <c r="G398" s="55">
        <f>2962*3.14*3</f>
        <v>27902.04</v>
      </c>
      <c r="H398" s="55"/>
      <c r="I398" s="1"/>
      <c r="J398" s="1"/>
      <c r="K398" s="55">
        <f>2962*3.14</f>
        <v>9300.68</v>
      </c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6.5" thickBot="1">
      <c r="A399" s="9"/>
      <c r="B399" t="s">
        <v>31</v>
      </c>
      <c r="C399" s="1"/>
      <c r="D399" s="1"/>
      <c r="E399" s="1" t="s">
        <v>195</v>
      </c>
      <c r="F399" s="1">
        <v>2855</v>
      </c>
      <c r="G399" s="56">
        <f>2855*3.15*3</f>
        <v>26979.75</v>
      </c>
      <c r="H399" s="56"/>
      <c r="I399" s="1"/>
      <c r="J399" s="1"/>
      <c r="K399" s="56">
        <f>2855*3.15</f>
        <v>8993.25</v>
      </c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6.5" thickBot="1">
      <c r="A400" s="9"/>
      <c r="B400" s="37" t="s">
        <v>32</v>
      </c>
      <c r="C400" s="1"/>
      <c r="D400" s="1"/>
      <c r="E400" s="1" t="s">
        <v>195</v>
      </c>
      <c r="F400" s="1">
        <v>1126</v>
      </c>
      <c r="G400" s="55">
        <f>1126*3.15*3</f>
        <v>10640.7</v>
      </c>
      <c r="H400" s="55"/>
      <c r="I400" s="1"/>
      <c r="J400" s="1"/>
      <c r="K400" s="55">
        <f>1126*3.15</f>
        <v>3546.9</v>
      </c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6.5" thickBot="1">
      <c r="A401" s="9"/>
      <c r="B401" t="s">
        <v>33</v>
      </c>
      <c r="C401" s="1"/>
      <c r="D401" s="1"/>
      <c r="E401" s="1" t="s">
        <v>195</v>
      </c>
      <c r="F401" s="1">
        <v>1321</v>
      </c>
      <c r="G401" s="56">
        <f>1321*3.15*3</f>
        <v>12483.449999999999</v>
      </c>
      <c r="H401" s="56"/>
      <c r="I401" s="1"/>
      <c r="J401" s="1"/>
      <c r="K401" s="56">
        <f>1321*3.15</f>
        <v>4161.15</v>
      </c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6.5" thickBot="1">
      <c r="A402" s="9"/>
      <c r="B402" s="37" t="s">
        <v>34</v>
      </c>
      <c r="C402" s="1"/>
      <c r="D402" s="1"/>
      <c r="E402" s="1" t="s">
        <v>195</v>
      </c>
      <c r="F402" s="1">
        <v>817</v>
      </c>
      <c r="G402" s="55">
        <f>817*3.15*3</f>
        <v>7720.65</v>
      </c>
      <c r="H402" s="55"/>
      <c r="I402" s="1"/>
      <c r="J402" s="1"/>
      <c r="K402" s="55">
        <f>817*3.15</f>
        <v>2573.5499999999997</v>
      </c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6.5" thickBot="1">
      <c r="A403" s="9"/>
      <c r="B403" t="s">
        <v>35</v>
      </c>
      <c r="C403" s="1"/>
      <c r="D403" s="1"/>
      <c r="E403" s="1" t="s">
        <v>195</v>
      </c>
      <c r="F403" s="1">
        <v>1188</v>
      </c>
      <c r="G403" s="56">
        <f>1188*3.15*3</f>
        <v>11226.599999999999</v>
      </c>
      <c r="H403" s="56"/>
      <c r="I403" s="1"/>
      <c r="J403" s="1"/>
      <c r="K403" s="56">
        <f>1188*3.15</f>
        <v>3742.2</v>
      </c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6.5" thickBot="1">
      <c r="A404" s="9"/>
      <c r="B404" s="37" t="s">
        <v>36</v>
      </c>
      <c r="C404" s="1"/>
      <c r="D404" s="1"/>
      <c r="E404" s="1" t="s">
        <v>195</v>
      </c>
      <c r="F404" s="1">
        <v>935</v>
      </c>
      <c r="G404" s="55">
        <f>935*3.15*3</f>
        <v>8835.75</v>
      </c>
      <c r="H404" s="55"/>
      <c r="I404" s="1"/>
      <c r="J404" s="1"/>
      <c r="K404" s="55">
        <f>935*3.15</f>
        <v>2945.25</v>
      </c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6.5" thickBot="1">
      <c r="A405" s="9"/>
      <c r="B405" t="s">
        <v>37</v>
      </c>
      <c r="C405" s="1"/>
      <c r="D405" s="1"/>
      <c r="E405" s="1" t="s">
        <v>195</v>
      </c>
      <c r="F405" s="1">
        <v>1660</v>
      </c>
      <c r="G405" s="56">
        <f>1660*3.15*3</f>
        <v>15687</v>
      </c>
      <c r="H405" s="56"/>
      <c r="I405" s="1"/>
      <c r="J405" s="1"/>
      <c r="K405" s="56">
        <f>1660*3.15</f>
        <v>5229</v>
      </c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6.5" thickBot="1">
      <c r="A406" s="9"/>
      <c r="B406" s="37" t="s">
        <v>38</v>
      </c>
      <c r="C406" s="1"/>
      <c r="D406" s="1"/>
      <c r="E406" s="1" t="s">
        <v>195</v>
      </c>
      <c r="F406" s="1">
        <v>1749</v>
      </c>
      <c r="G406" s="55">
        <f>1749*3.15*3</f>
        <v>16528.05</v>
      </c>
      <c r="H406" s="55"/>
      <c r="I406" s="1"/>
      <c r="J406" s="1"/>
      <c r="K406" s="55">
        <f>1749*3.15</f>
        <v>5509.349999999999</v>
      </c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6.5" thickBot="1">
      <c r="A407" s="9"/>
      <c r="B407" t="s">
        <v>39</v>
      </c>
      <c r="C407" s="1"/>
      <c r="D407" s="1"/>
      <c r="E407" s="1" t="s">
        <v>195</v>
      </c>
      <c r="F407" s="1">
        <v>3419</v>
      </c>
      <c r="G407" s="56">
        <f>3419*3.14*3</f>
        <v>32206.98</v>
      </c>
      <c r="H407" s="56"/>
      <c r="I407" s="1"/>
      <c r="J407" s="1"/>
      <c r="K407" s="56">
        <f>3419*3.14</f>
        <v>10735.66</v>
      </c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6.5" thickBot="1">
      <c r="A408" s="9"/>
      <c r="B408" s="37" t="s">
        <v>40</v>
      </c>
      <c r="C408" s="1"/>
      <c r="D408" s="1"/>
      <c r="E408" s="1" t="s">
        <v>195</v>
      </c>
      <c r="F408" s="1">
        <v>4626</v>
      </c>
      <c r="G408" s="55">
        <f>4626*3.14*3</f>
        <v>43576.920000000006</v>
      </c>
      <c r="H408" s="55"/>
      <c r="I408" s="1"/>
      <c r="J408" s="1"/>
      <c r="K408" s="55">
        <f>4626*3.14</f>
        <v>14525.640000000001</v>
      </c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6.5" thickBot="1">
      <c r="A409" s="9"/>
      <c r="B409" t="s">
        <v>41</v>
      </c>
      <c r="C409" s="1"/>
      <c r="D409" s="1"/>
      <c r="E409" s="1" t="s">
        <v>195</v>
      </c>
      <c r="F409" s="1">
        <v>2260</v>
      </c>
      <c r="G409" s="56">
        <f>2260*3.15*3</f>
        <v>21357</v>
      </c>
      <c r="H409" s="56"/>
      <c r="I409" s="1"/>
      <c r="J409" s="1"/>
      <c r="K409" s="56">
        <f>2260*3.15</f>
        <v>7119</v>
      </c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6.5" thickBot="1">
      <c r="A410" s="9"/>
      <c r="B410" s="37" t="s">
        <v>42</v>
      </c>
      <c r="C410" s="1"/>
      <c r="D410" s="1"/>
      <c r="E410" s="1" t="s">
        <v>195</v>
      </c>
      <c r="F410" s="1">
        <v>3277</v>
      </c>
      <c r="G410" s="55">
        <f>3277*3.14*3</f>
        <v>30869.340000000004</v>
      </c>
      <c r="H410" s="55"/>
      <c r="I410" s="1"/>
      <c r="J410" s="1"/>
      <c r="K410" s="55">
        <f>3277*3.14</f>
        <v>10289.78</v>
      </c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6.5" thickBot="1">
      <c r="A411" s="9"/>
      <c r="B411" t="s">
        <v>43</v>
      </c>
      <c r="C411" s="1"/>
      <c r="D411" s="1"/>
      <c r="E411" s="1" t="s">
        <v>195</v>
      </c>
      <c r="F411" s="1">
        <v>1092</v>
      </c>
      <c r="G411" s="56">
        <f>1092*3.15*3</f>
        <v>10319.4</v>
      </c>
      <c r="H411" s="56"/>
      <c r="I411" s="1"/>
      <c r="J411" s="1"/>
      <c r="K411" s="56">
        <f>1092*3.15</f>
        <v>3439.7999999999997</v>
      </c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6.5" thickBot="1">
      <c r="A412" s="9"/>
      <c r="B412" s="37" t="s">
        <v>44</v>
      </c>
      <c r="C412" s="1"/>
      <c r="D412" s="1"/>
      <c r="E412" s="1" t="s">
        <v>195</v>
      </c>
      <c r="F412" s="1">
        <v>1936</v>
      </c>
      <c r="G412" s="55">
        <f>1836*3.15*3</f>
        <v>17350.199999999997</v>
      </c>
      <c r="H412" s="55"/>
      <c r="I412" s="1"/>
      <c r="J412" s="1"/>
      <c r="K412" s="55">
        <f>1836*3.15</f>
        <v>5783.4</v>
      </c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6.5" thickBot="1">
      <c r="A413" s="9"/>
      <c r="B413" t="s">
        <v>45</v>
      </c>
      <c r="C413" s="1"/>
      <c r="D413" s="1"/>
      <c r="E413" s="1" t="s">
        <v>195</v>
      </c>
      <c r="F413" s="1">
        <v>2378</v>
      </c>
      <c r="G413" s="56">
        <f>2378*3.15*3</f>
        <v>22472.1</v>
      </c>
      <c r="H413" s="56"/>
      <c r="I413" s="1"/>
      <c r="J413" s="1"/>
      <c r="K413" s="56">
        <f>2378*3.15</f>
        <v>7490.7</v>
      </c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6.5" thickBot="1">
      <c r="A414" s="9"/>
      <c r="B414" s="37" t="s">
        <v>46</v>
      </c>
      <c r="C414" s="1"/>
      <c r="D414" s="1"/>
      <c r="E414" s="1" t="s">
        <v>195</v>
      </c>
      <c r="F414" s="1">
        <v>2569</v>
      </c>
      <c r="G414" s="55">
        <f>2569*3.15*3</f>
        <v>24277.05</v>
      </c>
      <c r="H414" s="55"/>
      <c r="I414" s="1"/>
      <c r="J414" s="1"/>
      <c r="K414" s="55">
        <f>2569*3.15</f>
        <v>8092.349999999999</v>
      </c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6.5" thickBot="1">
      <c r="A415" s="9"/>
      <c r="B415" t="s">
        <v>47</v>
      </c>
      <c r="C415" s="1"/>
      <c r="D415" s="1"/>
      <c r="E415" s="1" t="s">
        <v>195</v>
      </c>
      <c r="F415" s="1">
        <v>800</v>
      </c>
      <c r="G415" s="56">
        <f>800*3.15*3</f>
        <v>7560</v>
      </c>
      <c r="H415" s="56"/>
      <c r="I415" s="1"/>
      <c r="J415" s="1"/>
      <c r="K415" s="56">
        <f>800*3.15</f>
        <v>2520</v>
      </c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6.5" thickBot="1">
      <c r="A416" s="9"/>
      <c r="B416" s="37" t="s">
        <v>48</v>
      </c>
      <c r="C416" s="1"/>
      <c r="D416" s="1"/>
      <c r="E416" s="1" t="s">
        <v>195</v>
      </c>
      <c r="F416" s="1">
        <v>2391</v>
      </c>
      <c r="G416" s="55">
        <f>2391*3.15*3</f>
        <v>22594.949999999997</v>
      </c>
      <c r="H416" s="55"/>
      <c r="I416" s="1"/>
      <c r="J416" s="1"/>
      <c r="K416" s="55">
        <f>2391*3.15</f>
        <v>7531.65</v>
      </c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6.5" thickBot="1">
      <c r="A417" s="9"/>
      <c r="B417" t="s">
        <v>49</v>
      </c>
      <c r="C417" s="1"/>
      <c r="D417" s="1"/>
      <c r="E417" s="1" t="s">
        <v>195</v>
      </c>
      <c r="F417" s="1">
        <v>1904</v>
      </c>
      <c r="G417" s="56">
        <f>1904*3.15*3</f>
        <v>17992.8</v>
      </c>
      <c r="H417" s="56"/>
      <c r="I417" s="1"/>
      <c r="J417" s="1"/>
      <c r="K417" s="56">
        <f>1904*3.15</f>
        <v>5997.599999999999</v>
      </c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6.5" thickBot="1">
      <c r="A418" s="9"/>
      <c r="B418" s="37" t="s">
        <v>50</v>
      </c>
      <c r="C418" s="1"/>
      <c r="D418" s="1"/>
      <c r="E418" s="1" t="s">
        <v>195</v>
      </c>
      <c r="F418" s="1">
        <v>2092</v>
      </c>
      <c r="G418" s="55">
        <f>2092*3.14*3</f>
        <v>19706.64</v>
      </c>
      <c r="H418" s="55"/>
      <c r="I418" s="1"/>
      <c r="J418" s="1"/>
      <c r="K418" s="55">
        <f>2092*3.14</f>
        <v>6568.88</v>
      </c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6.5" thickBot="1">
      <c r="A419" s="9"/>
      <c r="B419" t="s">
        <v>51</v>
      </c>
      <c r="C419" s="1"/>
      <c r="D419" s="1"/>
      <c r="E419" s="1" t="s">
        <v>195</v>
      </c>
      <c r="F419" s="1">
        <v>865</v>
      </c>
      <c r="G419" s="56">
        <f>865*3.15*3</f>
        <v>8174.25</v>
      </c>
      <c r="H419" s="56"/>
      <c r="I419" s="1"/>
      <c r="J419" s="1"/>
      <c r="K419" s="56">
        <f>865*3.15</f>
        <v>2724.75</v>
      </c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6.5" thickBot="1">
      <c r="A420" s="9"/>
      <c r="B420" s="37" t="s">
        <v>52</v>
      </c>
      <c r="C420" s="1"/>
      <c r="D420" s="1"/>
      <c r="E420" s="1" t="s">
        <v>195</v>
      </c>
      <c r="F420" s="1">
        <v>1172</v>
      </c>
      <c r="G420" s="55">
        <f>1172*3.15*3</f>
        <v>11075.4</v>
      </c>
      <c r="H420" s="55"/>
      <c r="I420" s="1"/>
      <c r="J420" s="1"/>
      <c r="K420" s="55">
        <f>1172*3.15</f>
        <v>3691.7999999999997</v>
      </c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6.5" thickBot="1">
      <c r="A421" s="9"/>
      <c r="B421" t="s">
        <v>53</v>
      </c>
      <c r="C421" s="1"/>
      <c r="D421" s="1"/>
      <c r="E421" s="1" t="s">
        <v>195</v>
      </c>
      <c r="F421" s="1">
        <v>1846</v>
      </c>
      <c r="G421" s="56">
        <f>1846*3.15*3</f>
        <v>17444.699999999997</v>
      </c>
      <c r="H421" s="56"/>
      <c r="I421" s="1"/>
      <c r="J421" s="1"/>
      <c r="K421" s="56">
        <f>1846*3.15</f>
        <v>5814.9</v>
      </c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6.5" thickBot="1">
      <c r="A422" s="9"/>
      <c r="B422" s="53" t="s">
        <v>54</v>
      </c>
      <c r="C422" s="1"/>
      <c r="D422" s="1"/>
      <c r="E422" s="1" t="s">
        <v>195</v>
      </c>
      <c r="F422" s="1">
        <v>1120</v>
      </c>
      <c r="G422" s="55">
        <f>1120*3.15*3</f>
        <v>10584</v>
      </c>
      <c r="H422" s="55"/>
      <c r="I422" s="1"/>
      <c r="J422" s="1"/>
      <c r="K422" s="55">
        <f>1120*3.15</f>
        <v>3528</v>
      </c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6.5" thickBot="1">
      <c r="A423" s="9"/>
      <c r="B423" t="s">
        <v>55</v>
      </c>
      <c r="C423" s="1"/>
      <c r="D423" s="1"/>
      <c r="E423" s="1" t="s">
        <v>195</v>
      </c>
      <c r="F423" s="1">
        <v>1195</v>
      </c>
      <c r="G423" s="56">
        <f>1195*3.15*3</f>
        <v>11292.75</v>
      </c>
      <c r="H423" s="56"/>
      <c r="I423" s="1"/>
      <c r="J423" s="1"/>
      <c r="K423" s="56">
        <f>1195*3.15</f>
        <v>3764.25</v>
      </c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6.5" thickBot="1">
      <c r="A424" s="9"/>
      <c r="B424" s="37" t="s">
        <v>56</v>
      </c>
      <c r="C424" s="1"/>
      <c r="D424" s="1"/>
      <c r="E424" s="1" t="s">
        <v>195</v>
      </c>
      <c r="F424" s="1">
        <v>2460</v>
      </c>
      <c r="G424" s="55">
        <f>2460*3.14*3</f>
        <v>23173.2</v>
      </c>
      <c r="H424" s="55"/>
      <c r="I424" s="1"/>
      <c r="J424" s="1"/>
      <c r="K424" s="55">
        <f>2460*3.14</f>
        <v>7724.400000000001</v>
      </c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6.5" thickBot="1">
      <c r="A425" s="9"/>
      <c r="B425" t="s">
        <v>57</v>
      </c>
      <c r="C425" s="1"/>
      <c r="D425" s="1"/>
      <c r="E425" s="1" t="s">
        <v>195</v>
      </c>
      <c r="F425" s="1">
        <v>1996</v>
      </c>
      <c r="G425" s="56">
        <f>1996*3.15*3</f>
        <v>18862.199999999997</v>
      </c>
      <c r="H425" s="56"/>
      <c r="I425" s="1"/>
      <c r="J425" s="1"/>
      <c r="K425" s="56">
        <f>1996*3.15</f>
        <v>6287.4</v>
      </c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6.5" thickBot="1">
      <c r="A426" s="9"/>
      <c r="B426" s="37" t="s">
        <v>58</v>
      </c>
      <c r="C426" s="1"/>
      <c r="D426" s="1"/>
      <c r="E426" s="1" t="s">
        <v>195</v>
      </c>
      <c r="F426" s="1">
        <v>2730</v>
      </c>
      <c r="G426" s="55">
        <f>2730*3.14*3</f>
        <v>25716.600000000002</v>
      </c>
      <c r="H426" s="55"/>
      <c r="I426" s="1"/>
      <c r="J426" s="1"/>
      <c r="K426" s="55">
        <f>2730*3.14</f>
        <v>8572.2</v>
      </c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6.5" thickBot="1">
      <c r="A427" s="9"/>
      <c r="B427" t="s">
        <v>59</v>
      </c>
      <c r="C427" s="1"/>
      <c r="D427" s="1"/>
      <c r="E427" s="1" t="s">
        <v>195</v>
      </c>
      <c r="F427" s="1">
        <v>2439</v>
      </c>
      <c r="G427" s="56">
        <f>2439*3.15*3</f>
        <v>23048.55</v>
      </c>
      <c r="H427" s="56"/>
      <c r="I427" s="1"/>
      <c r="J427" s="1"/>
      <c r="K427" s="56">
        <f>2439*3.15</f>
        <v>7682.849999999999</v>
      </c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6.5" thickBot="1">
      <c r="A428" s="9"/>
      <c r="B428" s="37" t="s">
        <v>60</v>
      </c>
      <c r="C428" s="1"/>
      <c r="D428" s="1"/>
      <c r="E428" s="1" t="s">
        <v>195</v>
      </c>
      <c r="F428" s="1">
        <v>3132</v>
      </c>
      <c r="G428" s="55">
        <f>3132*3.14*3</f>
        <v>29503.44</v>
      </c>
      <c r="H428" s="55"/>
      <c r="I428" s="1"/>
      <c r="J428" s="1"/>
      <c r="K428" s="55">
        <f>3132*3.14</f>
        <v>9834.48</v>
      </c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6.5" thickBot="1">
      <c r="A429" s="9"/>
      <c r="B429" t="s">
        <v>61</v>
      </c>
      <c r="C429" s="1"/>
      <c r="D429" s="1"/>
      <c r="E429" s="1" t="s">
        <v>195</v>
      </c>
      <c r="F429" s="1">
        <v>2755</v>
      </c>
      <c r="G429" s="56">
        <f>2755*3.14*3</f>
        <v>25952.100000000002</v>
      </c>
      <c r="H429" s="56"/>
      <c r="I429" s="1"/>
      <c r="J429" s="1"/>
      <c r="K429" s="56">
        <f>2755*3.14</f>
        <v>8650.7</v>
      </c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6.5" thickBot="1">
      <c r="A430" s="9"/>
      <c r="B430" s="37" t="s">
        <v>62</v>
      </c>
      <c r="C430" s="1"/>
      <c r="D430" s="1"/>
      <c r="E430" s="1" t="s">
        <v>195</v>
      </c>
      <c r="F430" s="1">
        <v>411</v>
      </c>
      <c r="G430" s="55">
        <f>411*3.14*3</f>
        <v>3871.62</v>
      </c>
      <c r="H430" s="55"/>
      <c r="I430" s="1"/>
      <c r="J430" s="1"/>
      <c r="K430" s="55">
        <f>411*3.14</f>
        <v>1290.54</v>
      </c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6.5" thickBot="1">
      <c r="A431" s="9"/>
      <c r="B431" t="s">
        <v>63</v>
      </c>
      <c r="C431" s="1"/>
      <c r="D431" s="1"/>
      <c r="E431" s="1" t="s">
        <v>195</v>
      </c>
      <c r="F431" s="1">
        <v>1695</v>
      </c>
      <c r="G431" s="56">
        <f>1695*3.15*3</f>
        <v>16017.75</v>
      </c>
      <c r="H431" s="56"/>
      <c r="I431" s="1"/>
      <c r="J431" s="1"/>
      <c r="K431" s="56">
        <f>1695*3.15</f>
        <v>5339.25</v>
      </c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6.5" thickBot="1">
      <c r="A432" s="9"/>
      <c r="B432" s="37" t="s">
        <v>64</v>
      </c>
      <c r="C432" s="1"/>
      <c r="D432" s="1"/>
      <c r="E432" s="1" t="s">
        <v>195</v>
      </c>
      <c r="F432" s="1">
        <v>490</v>
      </c>
      <c r="G432" s="55">
        <f>490*3.15*3</f>
        <v>4630.5</v>
      </c>
      <c r="H432" s="55"/>
      <c r="I432" s="1"/>
      <c r="J432" s="1"/>
      <c r="K432" s="55">
        <f>490*3.15</f>
        <v>1543.5</v>
      </c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6.5" thickBot="1">
      <c r="A433" s="9"/>
      <c r="B433" t="s">
        <v>65</v>
      </c>
      <c r="C433" s="1"/>
      <c r="D433" s="1"/>
      <c r="E433" s="1" t="s">
        <v>195</v>
      </c>
      <c r="F433" s="1">
        <v>1145</v>
      </c>
      <c r="G433" s="56">
        <f>1145*3.15</f>
        <v>3606.75</v>
      </c>
      <c r="H433" s="56"/>
      <c r="I433" s="1"/>
      <c r="J433" s="1"/>
      <c r="K433" s="56">
        <f>1145*3.15</f>
        <v>3606.75</v>
      </c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6.5" thickBot="1">
      <c r="A434" s="9"/>
      <c r="B434" s="37" t="s">
        <v>66</v>
      </c>
      <c r="C434" s="1"/>
      <c r="D434" s="1"/>
      <c r="E434" s="1" t="s">
        <v>195</v>
      </c>
      <c r="F434" s="1">
        <v>262</v>
      </c>
      <c r="G434" s="55">
        <f>262*3.15*3</f>
        <v>2475.8999999999996</v>
      </c>
      <c r="H434" s="55"/>
      <c r="I434" s="1"/>
      <c r="J434" s="1"/>
      <c r="K434" s="55">
        <f>262*3.15</f>
        <v>825.3</v>
      </c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6.5" thickBot="1">
      <c r="A435" s="9"/>
      <c r="B435" t="s">
        <v>67</v>
      </c>
      <c r="C435" s="1"/>
      <c r="D435" s="1"/>
      <c r="E435" s="1" t="s">
        <v>195</v>
      </c>
      <c r="F435" s="1">
        <v>1233</v>
      </c>
      <c r="G435" s="56">
        <f>1233*3.14*3</f>
        <v>11614.86</v>
      </c>
      <c r="H435" s="56"/>
      <c r="I435" s="1"/>
      <c r="J435" s="1"/>
      <c r="K435" s="56">
        <f>1233*3.14</f>
        <v>3871.6200000000003</v>
      </c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6.5" thickBot="1">
      <c r="A436" s="9"/>
      <c r="B436" s="38" t="s">
        <v>68</v>
      </c>
      <c r="C436" s="1"/>
      <c r="D436" s="1"/>
      <c r="E436" s="1" t="s">
        <v>195</v>
      </c>
      <c r="F436" s="1">
        <v>1194</v>
      </c>
      <c r="G436" s="54">
        <f>1194*3.142*3</f>
        <v>11254.644</v>
      </c>
      <c r="H436" s="54"/>
      <c r="I436" s="1"/>
      <c r="J436" s="1"/>
      <c r="K436" s="54">
        <f>1194*3.142</f>
        <v>3751.548</v>
      </c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6.5" thickBot="1">
      <c r="A437" s="9"/>
      <c r="B437" s="9" t="s">
        <v>140</v>
      </c>
      <c r="C437" s="1"/>
      <c r="D437" s="1"/>
      <c r="E437" s="1"/>
      <c r="F437" s="58">
        <f>SUM(F389:F436)</f>
        <v>91276</v>
      </c>
      <c r="G437" s="58">
        <f>SUM(G389:G436)</f>
        <v>853212.7139999998</v>
      </c>
      <c r="H437" s="1"/>
      <c r="I437" s="1"/>
      <c r="J437" s="1">
        <v>853213</v>
      </c>
      <c r="K437" s="58">
        <f>SUM(K389:K436)</f>
        <v>286808.73799999995</v>
      </c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5.75">
      <c r="A438" s="9"/>
      <c r="B438" s="22" t="s">
        <v>391</v>
      </c>
      <c r="C438" s="1"/>
      <c r="D438" s="1"/>
      <c r="E438" s="1"/>
      <c r="F438" s="1"/>
      <c r="G438" s="23">
        <f>G57+G109+G138+G188+G199+G247+G282+G333+G342+G361+G381+G370+G346+G435</f>
        <v>853191.76</v>
      </c>
      <c r="H438" s="23"/>
      <c r="I438" s="23">
        <f>I57+I109+I138+I188+I199+I247+I282+I333+I342+I361+I381+I370+I346+I435</f>
        <v>0</v>
      </c>
      <c r="J438" s="23">
        <f>J57+J109+J138+J188+J199+J247+J282+J333+J342+J361+J381+J370+J346+J435</f>
        <v>841577</v>
      </c>
      <c r="K438" s="23">
        <f>K57+K109+K138+K188+K199+K247+K282+K333+K342+K361+K381+K370+K346</f>
        <v>487779</v>
      </c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5.75">
      <c r="A439" s="9"/>
      <c r="B439" s="9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5.75">
      <c r="A440" s="9"/>
      <c r="B440" s="9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9.5" customHeight="1">
      <c r="A441" s="1"/>
      <c r="B441" s="22" t="s">
        <v>392</v>
      </c>
      <c r="C441" s="1"/>
      <c r="D441" s="1"/>
      <c r="E441" s="1"/>
      <c r="F441" s="1"/>
      <c r="G441" s="23">
        <f>G59+G111+G140+G190+G201+G249+G284+G335+G344+G363+G383+G372+G348+G387</f>
        <v>11245063.22</v>
      </c>
      <c r="H441" s="23"/>
      <c r="I441" s="23">
        <f>I59+I111+I140+I190+I201+I249+I284+I335+I344+I363+I383+I372+I348+I387</f>
        <v>790024</v>
      </c>
      <c r="J441" s="23">
        <f>J59+J111+J140+J190+J201+J249+J284+J335+J344+J363+J383+J372+J348+J387</f>
        <v>12035087.52</v>
      </c>
      <c r="K441" s="23">
        <f>K59+K111+K140+K190+K201+K249+K284+K335+K344+K363+K383+K372+K348+K387</f>
        <v>5282089.4</v>
      </c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3" ht="12.75">
      <c r="B443" t="s">
        <v>395</v>
      </c>
    </row>
  </sheetData>
  <sheetProtection/>
  <mergeCells count="59">
    <mergeCell ref="A220:A221"/>
    <mergeCell ref="C220:C221"/>
    <mergeCell ref="B5:B6"/>
    <mergeCell ref="B235:B236"/>
    <mergeCell ref="C235:C236"/>
    <mergeCell ref="C215:C216"/>
    <mergeCell ref="C258:C259"/>
    <mergeCell ref="G5:G6"/>
    <mergeCell ref="E5:E6"/>
    <mergeCell ref="D5:D6"/>
    <mergeCell ref="C5:C6"/>
    <mergeCell ref="A235:A236"/>
    <mergeCell ref="A5:A6"/>
    <mergeCell ref="B215:B216"/>
    <mergeCell ref="A215:A216"/>
    <mergeCell ref="B220:B221"/>
    <mergeCell ref="A251:A252"/>
    <mergeCell ref="B251:B252"/>
    <mergeCell ref="C251:C252"/>
    <mergeCell ref="B272:B273"/>
    <mergeCell ref="A272:A273"/>
    <mergeCell ref="C272:C273"/>
    <mergeCell ref="B253:B255"/>
    <mergeCell ref="A253:A255"/>
    <mergeCell ref="C253:C255"/>
    <mergeCell ref="B258:B259"/>
    <mergeCell ref="B274:B275"/>
    <mergeCell ref="C274:C275"/>
    <mergeCell ref="A274:A275"/>
    <mergeCell ref="C270:C271"/>
    <mergeCell ref="A270:A271"/>
    <mergeCell ref="B270:B271"/>
    <mergeCell ref="A237:A239"/>
    <mergeCell ref="B243:B244"/>
    <mergeCell ref="A243:A244"/>
    <mergeCell ref="C243:C244"/>
    <mergeCell ref="C245:C246"/>
    <mergeCell ref="A245:A246"/>
    <mergeCell ref="B245:B246"/>
    <mergeCell ref="L5:W5"/>
    <mergeCell ref="F5:F6"/>
    <mergeCell ref="B206:B208"/>
    <mergeCell ref="C206:C208"/>
    <mergeCell ref="B204:B205"/>
    <mergeCell ref="C204:C205"/>
    <mergeCell ref="K5:K6"/>
    <mergeCell ref="J5:J6"/>
    <mergeCell ref="I5:I6"/>
    <mergeCell ref="H5:H6"/>
    <mergeCell ref="C276:C277"/>
    <mergeCell ref="B276:B277"/>
    <mergeCell ref="A1:J1"/>
    <mergeCell ref="A206:A208"/>
    <mergeCell ref="A204:A205"/>
    <mergeCell ref="B241:B242"/>
    <mergeCell ref="C241:C242"/>
    <mergeCell ref="A241:A242"/>
    <mergeCell ref="B237:B239"/>
    <mergeCell ref="C237:C239"/>
  </mergeCells>
  <printOptions/>
  <pageMargins left="0.37" right="0.19" top="0.24" bottom="0.17" header="0.5" footer="0.17"/>
  <pageSetup horizontalDpi="600" verticalDpi="600" orientation="portrait" paperSize="9" scale="79" r:id="rId1"/>
  <rowBreaks count="2" manualBreakCount="2">
    <brk id="234" max="69" man="1"/>
    <brk id="276" max="6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2009-06-29T08:48:27Z</cp:lastPrinted>
  <dcterms:created xsi:type="dcterms:W3CDTF">2010-01-29T09:07:17Z</dcterms:created>
  <dcterms:modified xsi:type="dcterms:W3CDTF">2015-03-31T04:40:42Z</dcterms:modified>
  <cp:category/>
  <cp:version/>
  <cp:contentType/>
  <cp:contentStatus/>
</cp:coreProperties>
</file>